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02_EDM\Monitoring_GAS\THE\THE - Anforderung Prüfung 2022\Verfahrensspez. Parameter\"/>
    </mc:Choice>
  </mc:AlternateContent>
  <xr:revisionPtr revIDLastSave="0" documentId="8_{9031BAD7-DAFD-4361-B3B5-6E4E0B930E2A}" xr6:coauthVersionLast="36" xr6:coauthVersionMax="36" xr10:uidLastSave="{00000000-0000-0000-0000-000000000000}"/>
  <bookViews>
    <workbookView xWindow="0" yWindow="0" windowWidth="23040" windowHeight="8196" tabRatio="789" activeTab="5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91029" iterate="1" calcOnSave="0"/>
</workbook>
</file>

<file path=xl/calcChain.xml><?xml version="1.0" encoding="utf-8"?>
<calcChain xmlns="http://schemas.openxmlformats.org/spreadsheetml/2006/main">
  <c r="E59" i="17" l="1"/>
  <c r="R26" i="7" l="1"/>
  <c r="S26" i="7"/>
  <c r="T26" i="7"/>
  <c r="U26" i="7"/>
  <c r="V26" i="7"/>
  <c r="W26" i="7"/>
  <c r="E58" i="17"/>
  <c r="X26" i="7" l="1"/>
  <c r="E7" i="18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E63" i="18"/>
  <c r="G63" i="18"/>
  <c r="J6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K21" i="18" l="1"/>
  <c r="M21" i="18"/>
  <c r="I21" i="18"/>
  <c r="G21" i="18"/>
  <c r="N21" i="18"/>
  <c r="D56" i="18"/>
  <c r="J55" i="18" s="1"/>
  <c r="H21" i="18"/>
  <c r="F21" i="18"/>
  <c r="E21" i="18" s="1"/>
  <c r="L21" i="18"/>
  <c r="E31" i="18"/>
  <c r="D66" i="18"/>
  <c r="K65" i="18" s="1"/>
  <c r="K55" i="18"/>
  <c r="L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G55" i="18" l="1"/>
  <c r="F55" i="18"/>
  <c r="M65" i="18"/>
  <c r="L65" i="18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2" i="7"/>
  <c r="T12" i="7"/>
  <c r="U12" i="7"/>
  <c r="V12" i="7"/>
  <c r="W12" i="7"/>
  <c r="R12" i="7"/>
  <c r="E65" i="18" l="1"/>
  <c r="X12" i="7"/>
  <c r="X21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H63" i="17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25" i="7" s="1"/>
  <c r="H21" i="4"/>
  <c r="V25" i="7" s="1"/>
  <c r="G21" i="4"/>
  <c r="U25" i="7" s="1"/>
  <c r="F21" i="4"/>
  <c r="T25" i="7" s="1"/>
  <c r="E21" i="4"/>
  <c r="S25" i="7" s="1"/>
  <c r="D21" i="4"/>
  <c r="R25" i="7" s="1"/>
  <c r="M20" i="4"/>
  <c r="M19" i="4"/>
  <c r="M16" i="4"/>
  <c r="M18" i="4"/>
  <c r="M17" i="4"/>
  <c r="M15" i="4"/>
  <c r="M14" i="4"/>
  <c r="M13" i="4"/>
  <c r="M12" i="4"/>
  <c r="M11" i="4"/>
  <c r="X25" i="7" l="1"/>
  <c r="C11" i="8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F26" i="7" l="1"/>
  <c r="K26" i="7"/>
  <c r="O26" i="7"/>
  <c r="F12" i="7"/>
  <c r="M26" i="7"/>
  <c r="H26" i="7"/>
  <c r="L26" i="7"/>
  <c r="P26" i="7"/>
  <c r="F13" i="7"/>
  <c r="I26" i="7"/>
  <c r="J26" i="7"/>
  <c r="N26" i="7"/>
  <c r="N25" i="7"/>
  <c r="J25" i="7"/>
  <c r="P24" i="7"/>
  <c r="L24" i="7"/>
  <c r="H24" i="7"/>
  <c r="N23" i="7"/>
  <c r="J23" i="7"/>
  <c r="P22" i="7"/>
  <c r="L22" i="7"/>
  <c r="H22" i="7"/>
  <c r="N21" i="7"/>
  <c r="J21" i="7"/>
  <c r="P20" i="7"/>
  <c r="L20" i="7"/>
  <c r="H20" i="7"/>
  <c r="N19" i="7"/>
  <c r="J19" i="7"/>
  <c r="P18" i="7"/>
  <c r="L18" i="7"/>
  <c r="H18" i="7"/>
  <c r="N17" i="7"/>
  <c r="J17" i="7"/>
  <c r="P16" i="7"/>
  <c r="L16" i="7"/>
  <c r="H16" i="7"/>
  <c r="N15" i="7"/>
  <c r="J15" i="7"/>
  <c r="P14" i="7"/>
  <c r="L14" i="7"/>
  <c r="H14" i="7"/>
  <c r="N13" i="7"/>
  <c r="J13" i="7"/>
  <c r="P12" i="7"/>
  <c r="L12" i="7"/>
  <c r="H12" i="7"/>
  <c r="M25" i="7"/>
  <c r="I25" i="7"/>
  <c r="O24" i="7"/>
  <c r="K24" i="7"/>
  <c r="F24" i="7"/>
  <c r="M23" i="7"/>
  <c r="I23" i="7"/>
  <c r="O22" i="7"/>
  <c r="K22" i="7"/>
  <c r="F22" i="7"/>
  <c r="M21" i="7"/>
  <c r="I21" i="7"/>
  <c r="O20" i="7"/>
  <c r="K20" i="7"/>
  <c r="F20" i="7"/>
  <c r="M19" i="7"/>
  <c r="I19" i="7"/>
  <c r="O18" i="7"/>
  <c r="K18" i="7"/>
  <c r="F18" i="7"/>
  <c r="M17" i="7"/>
  <c r="I17" i="7"/>
  <c r="O16" i="7"/>
  <c r="K16" i="7"/>
  <c r="F16" i="7"/>
  <c r="M15" i="7"/>
  <c r="I15" i="7"/>
  <c r="O14" i="7"/>
  <c r="K14" i="7"/>
  <c r="F14" i="7"/>
  <c r="M13" i="7"/>
  <c r="I13" i="7"/>
  <c r="O12" i="7"/>
  <c r="K12" i="7"/>
  <c r="P25" i="7"/>
  <c r="L25" i="7"/>
  <c r="H25" i="7"/>
  <c r="N24" i="7"/>
  <c r="J24" i="7"/>
  <c r="P23" i="7"/>
  <c r="L23" i="7"/>
  <c r="H23" i="7"/>
  <c r="N22" i="7"/>
  <c r="J22" i="7"/>
  <c r="P21" i="7"/>
  <c r="L21" i="7"/>
  <c r="H21" i="7"/>
  <c r="N20" i="7"/>
  <c r="J20" i="7"/>
  <c r="P19" i="7"/>
  <c r="L19" i="7"/>
  <c r="H19" i="7"/>
  <c r="N18" i="7"/>
  <c r="J18" i="7"/>
  <c r="P17" i="7"/>
  <c r="L17" i="7"/>
  <c r="H17" i="7"/>
  <c r="N16" i="7"/>
  <c r="J16" i="7"/>
  <c r="P15" i="7"/>
  <c r="L15" i="7"/>
  <c r="H15" i="7"/>
  <c r="N14" i="7"/>
  <c r="J14" i="7"/>
  <c r="P13" i="7"/>
  <c r="L13" i="7"/>
  <c r="H13" i="7"/>
  <c r="N12" i="7"/>
  <c r="J12" i="7"/>
  <c r="O25" i="7"/>
  <c r="K25" i="7"/>
  <c r="F25" i="7"/>
  <c r="M24" i="7"/>
  <c r="I24" i="7"/>
  <c r="O23" i="7"/>
  <c r="K23" i="7"/>
  <c r="F23" i="7"/>
  <c r="M22" i="7"/>
  <c r="I22" i="7"/>
  <c r="O21" i="7"/>
  <c r="K21" i="7"/>
  <c r="F21" i="7"/>
  <c r="M20" i="7"/>
  <c r="I20" i="7"/>
  <c r="O19" i="7"/>
  <c r="K19" i="7"/>
  <c r="F19" i="7"/>
  <c r="M18" i="7"/>
  <c r="I18" i="7"/>
  <c r="O17" i="7"/>
  <c r="K17" i="7"/>
  <c r="F17" i="7"/>
  <c r="M16" i="7"/>
  <c r="I16" i="7"/>
  <c r="O15" i="7"/>
  <c r="K15" i="7"/>
  <c r="F15" i="7"/>
  <c r="M14" i="7"/>
  <c r="I14" i="7"/>
  <c r="O13" i="7"/>
  <c r="K13" i="7"/>
  <c r="M12" i="7"/>
  <c r="I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26" i="7" l="1"/>
  <c r="Q18" i="7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<sst xmlns="http://schemas.openxmlformats.org/spreadsheetml/2006/main" count="1376" uniqueCount="679">
  <si>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</si>
  <si>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</si>
  <si>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</si>
  <si>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</si>
  <si>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</si>
  <si>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</si>
  <si>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</si>
  <si>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</si>
  <si>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</si>
  <si>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</si>
  <si>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</si>
  <si>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</si>
  <si>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</si>
  <si>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</si>
  <si>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</si>
  <si>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</si>
  <si>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</si>
  <si>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</si>
  <si>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</si>
  <si>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</si>
  <si>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</si>
  <si>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</si>
  <si>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</si>
  <si>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</si>
  <si>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</si>
  <si>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</si>
  <si>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</si>
  <si>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</si>
  <si>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</si>
  <si>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</si>
  <si>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</si>
  <si>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</si>
  <si>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</si>
  <si>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</si>
  <si>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</si>
  <si>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</si>
  <si>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</si>
  <si>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</si>
  <si>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</si>
  <si>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</si>
  <si>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</si>
  <si>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</si>
  <si>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</si>
  <si>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</si>
  <si>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</si>
  <si>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</si>
  <si>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</si>
  <si>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</si>
  <si>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</si>
  <si>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</si>
  <si>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</si>
  <si>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</si>
  <si>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</si>
  <si>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</si>
  <si>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</si>
  <si>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</si>
  <si>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</si>
  <si>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</si>
  <si>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</si>
  <si>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</si>
  <si>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</si>
  <si>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</si>
  <si>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</si>
  <si>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</si>
  <si>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</si>
  <si>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</si>
  <si>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</si>
  <si>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</si>
  <si>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</si>
  <si>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</si>
  <si>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</si>
  <si>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</si>
  <si>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</si>
  <si>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</si>
  <si>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</si>
  <si>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</si>
  <si>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</si>
  <si>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</si>
  <si>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</si>
  <si>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</si>
  <si>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</si>
  <si>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</si>
  <si>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</si>
  <si>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</si>
  <si>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</si>
  <si>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</si>
  <si>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</si>
  <si>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</si>
  <si>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</si>
  <si>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</si>
  <si>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</si>
  <si>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</si>
  <si>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</si>
  <si>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</si>
  <si>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</si>
  <si>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</si>
  <si>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</si>
  <si>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</si>
  <si>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</si>
  <si>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</si>
  <si>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</si>
  <si>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</si>
  <si>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</si>
  <si>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</si>
  <si>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</si>
  <si>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</si>
  <si>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</si>
  <si>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</si>
  <si>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</si>
  <si>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</si>
  <si>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</si>
  <si>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</si>
  <si>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</si>
  <si>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</si>
  <si>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</si>
  <si>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</si>
  <si>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</si>
  <si>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</si>
  <si>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</si>
  <si>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</si>
  <si>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</si>
  <si>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</si>
  <si>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</si>
  <si>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</si>
  <si>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</si>
  <si>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</si>
  <si>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</si>
  <si>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</si>
  <si>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</si>
  <si>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</si>
  <si>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</si>
  <si>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</si>
  <si>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</si>
  <si>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</si>
  <si>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</si>
  <si>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</si>
  <si>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</si>
  <si>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</si>
  <si>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</si>
  <si>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</si>
  <si>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</si>
  <si>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</si>
  <si>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</si>
  <si>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</si>
  <si>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</si>
  <si>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</si>
  <si>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</si>
  <si>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</si>
  <si>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</si>
  <si>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</si>
  <si>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</si>
  <si>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</si>
  <si>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</si>
  <si>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</si>
  <si>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</si>
  <si>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</si>
  <si>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</si>
  <si>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</si>
  <si>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</si>
  <si>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</si>
  <si>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</si>
  <si>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</si>
  <si>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</si>
  <si>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</si>
  <si>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</si>
  <si>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</si>
  <si>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</si>
  <si>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</si>
  <si>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</si>
  <si>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</si>
  <si>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</si>
  <si>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</si>
  <si>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</si>
  <si>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</si>
  <si>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</si>
  <si>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</si>
  <si>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</si>
  <si>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</si>
  <si>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</si>
  <si>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</si>
  <si>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</si>
  <si>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</si>
  <si>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</si>
  <si>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</si>
  <si>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</si>
  <si>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</si>
  <si>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</si>
  <si>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</si>
  <si>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</si>
  <si>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</si>
  <si>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</si>
  <si>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</si>
  <si>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</si>
  <si>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</si>
  <si>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</si>
  <si>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</si>
  <si>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</si>
  <si>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</si>
  <si>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</si>
  <si>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</si>
  <si>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</si>
  <si>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</si>
  <si>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</si>
  <si>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</si>
  <si>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</si>
  <si>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</si>
  <si>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</si>
  <si>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</si>
  <si>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</si>
  <si>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</si>
  <si>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</si>
  <si>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</si>
  <si>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</si>
  <si>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</si>
  <si>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</si>
  <si>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</si>
  <si>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</si>
  <si>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</si>
  <si>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</si>
  <si>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</si>
  <si>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</si>
  <si>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</si>
  <si>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</si>
  <si>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</si>
  <si>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</si>
  <si>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</si>
  <si>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</si>
  <si>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</si>
  <si>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</si>
  <si>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</si>
  <si>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</si>
  <si>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</si>
  <si>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</si>
  <si>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</si>
  <si>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</si>
  <si>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</si>
  <si>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</si>
  <si>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</si>
  <si>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</si>
  <si>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</si>
  <si>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</si>
  <si>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</si>
  <si>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</si>
  <si>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</si>
  <si>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</si>
  <si>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</si>
  <si>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</si>
  <si>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</si>
  <si>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</si>
  <si>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</si>
  <si>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</si>
  <si>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</si>
  <si>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</si>
  <si>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</si>
  <si>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</si>
  <si>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</si>
  <si>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</si>
  <si>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</si>
  <si>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</si>
  <si>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</si>
  <si>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</si>
  <si>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</si>
  <si>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</si>
  <si>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</si>
  <si>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</si>
  <si>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</si>
  <si>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</si>
  <si>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</si>
  <si>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</si>
  <si>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</si>
  <si>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</si>
  <si>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</si>
  <si>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</si>
  <si>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</si>
  <si>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</si>
  <si>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</si>
  <si>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</si>
  <si>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</si>
  <si>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</si>
  <si>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</si>
  <si>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</si>
  <si>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</si>
  <si>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</si>
  <si>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</si>
  <si>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</si>
  <si>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</si>
  <si>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</si>
  <si>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</si>
  <si>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</si>
  <si>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</si>
  <si>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</si>
  <si>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</si>
  <si>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</si>
  <si>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</si>
  <si>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</si>
  <si>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</si>
  <si>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</si>
  <si>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</si>
  <si>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</si>
  <si>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</si>
  <si>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</si>
  <si>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</si>
  <si>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</si>
  <si>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</si>
  <si>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</si>
  <si>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</si>
  <si>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</si>
  <si>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</si>
  <si>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</si>
  <si>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</si>
  <si>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</si>
  <si>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</si>
  <si>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</si>
  <si>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</si>
  <si>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</si>
  <si>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</si>
  <si>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</si>
  <si>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</si>
  <si>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</si>
  <si>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</si>
  <si>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</si>
  <si>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</si>
  <si>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</si>
  <si>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</si>
  <si>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</si>
  <si>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</si>
  <si>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</si>
  <si>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</si>
  <si>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</si>
  <si>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</si>
  <si>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</si>
  <si>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</si>
  <si>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</si>
  <si>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</si>
  <si>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</si>
  <si>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</si>
  <si>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</si>
  <si>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</si>
  <si>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</si>
  <si>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</si>
  <si>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</si>
  <si>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</si>
  <si>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</si>
  <si>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</si>
  <si>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</si>
  <si>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</si>
  <si>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</si>
  <si>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</si>
  <si>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</si>
  <si>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</si>
  <si>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</si>
  <si>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</si>
  <si>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</si>
  <si>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</si>
  <si>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</si>
  <si>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</si>
  <si>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</si>
  <si>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</si>
  <si>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</si>
  <si>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</si>
  <si>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</si>
  <si>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</si>
  <si>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</si>
  <si>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</si>
  <si>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</si>
  <si>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</si>
  <si>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</si>
  <si>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</si>
  <si>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</si>
  <si>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</si>
  <si>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</si>
  <si>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</si>
  <si>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</si>
  <si>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</si>
  <si>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</si>
  <si>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</si>
  <si>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</si>
  <si>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</si>
  <si>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</si>
  <si>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</si>
  <si>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</si>
  <si>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</si>
  <si>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</si>
  <si>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</si>
  <si>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</si>
  <si>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</si>
  <si>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</si>
  <si>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</si>
  <si>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</si>
  <si>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</si>
  <si>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</si>
  <si>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</si>
  <si>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</si>
  <si>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</si>
  <si>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</si>
  <si>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</si>
  <si>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</si>
  <si>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</si>
  <si>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</si>
  <si>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</si>
  <si>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</si>
  <si>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</si>
  <si>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</si>
  <si>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</si>
  <si>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</si>
  <si>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</si>
  <si>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</si>
  <si>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</si>
  <si>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</si>
  <si>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</si>
  <si>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</si>
  <si>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</si>
  <si>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</si>
  <si>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</si>
  <si>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</si>
  <si>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</si>
  <si>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</si>
  <si>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</si>
  <si>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</si>
  <si>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</si>
  <si>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</si>
  <si>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</si>
  <si>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</si>
  <si>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</si>
  <si>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</si>
  <si>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</si>
  <si>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</si>
  <si>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</si>
  <si>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</si>
  <si>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</si>
  <si>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</si>
  <si>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</si>
  <si>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</si>
  <si>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</si>
  <si>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</si>
  <si>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</si>
  <si>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</si>
  <si>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</si>
  <si>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</si>
  <si>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</si>
  <si>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</si>
  <si>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</si>
  <si>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</si>
  <si>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</si>
  <si>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</si>
  <si>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</si>
  <si>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</si>
  <si>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</si>
  <si>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</si>
  <si>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</si>
  <si>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</si>
  <si>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</si>
  <si>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</si>
  <si>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</si>
  <si>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</si>
  <si>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</si>
  <si>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</si>
  <si>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</si>
  <si>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</si>
  <si>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</si>
  <si>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</si>
  <si>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</si>
  <si>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</si>
  <si>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</si>
  <si>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</si>
  <si>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</si>
  <si>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</si>
  <si>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</si>
  <si>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</si>
  <si>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</si>
  <si>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</si>
  <si>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</si>
  <si>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</si>
  <si>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</si>
  <si>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</si>
  <si>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</si>
  <si>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</si>
  <si>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</si>
  <si>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</si>
  <si>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</si>
  <si>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</si>
  <si>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</si>
  <si>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</si>
  <si>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</si>
  <si>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</si>
  <si>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</si>
  <si>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</si>
  <si>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</si>
  <si>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</si>
  <si>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</si>
  <si>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</si>
  <si>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</si>
  <si>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</si>
  <si>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</si>
  <si>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</si>
  <si>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</si>
  <si>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</si>
  <si>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</si>
  <si>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</si>
  <si>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</si>
  <si>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</si>
  <si>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</si>
  <si>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</si>
  <si>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</si>
  <si>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</si>
  <si>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</si>
  <si>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</si>
  <si>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</si>
  <si>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</si>
  <si>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</si>
  <si>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</si>
  <si>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</si>
  <si>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</si>
  <si>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</si>
  <si>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</si>
  <si>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</si>
  <si>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</si>
  <si>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</si>
  <si>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</si>
  <si>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</si>
  <si>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</si>
  <si>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</si>
  <si>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</si>
  <si>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</si>
  <si>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</si>
  <si>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</si>
  <si>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</si>
  <si>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</si>
  <si>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</si>
  <si>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</si>
  <si>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</si>
  <si>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</si>
  <si>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</si>
  <si>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</si>
  <si>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</si>
  <si>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</si>
  <si>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</si>
  <si>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</si>
  <si>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</si>
  <si>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</si>
  <si>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</si>
  <si>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</si>
  <si>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</si>
  <si>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</si>
  <si>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</si>
  <si>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</si>
  <si>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</si>
  <si>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</si>
  <si>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</si>
  <si>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</si>
  <si>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</si>
  <si>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</si>
  <si>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</si>
  <si>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</si>
  <si>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</si>
  <si>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</si>
  <si>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</si>
  <si>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</si>
  <si>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</si>
  <si>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</si>
  <si>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</si>
  <si>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</si>
  <si>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</si>
  <si>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</si>
  <si>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</si>
  <si>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</si>
  <si>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</si>
  <si>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</si>
  <si>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</si>
  <si>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</si>
  <si>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</si>
  <si>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</si>
  <si>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</si>
  <si>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</si>
  <si>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</si>
  <si>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</si>
  <si>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</si>
  <si>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</si>
  <si>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</si>
  <si>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</si>
  <si>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</si>
  <si>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</si>
  <si>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</si>
  <si>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</si>
  <si>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</si>
  <si>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</si>
  <si>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</si>
  <si>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</si>
  <si>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</si>
  <si>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</si>
  <si>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</si>
  <si>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</si>
  <si>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</si>
  <si>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</si>
  <si>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</si>
  <si>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</si>
  <si>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</si>
  <si>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</si>
  <si>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</si>
  <si>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</si>
  <si>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</si>
  <si>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</si>
  <si>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</si>
  <si>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</si>
  <si>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</si>
  <si>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</si>
  <si>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</si>
  <si>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</si>
  <si>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</si>
  <si>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</si>
  <si>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</si>
  <si>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</si>
  <si>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</si>
  <si>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</si>
  <si>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</si>
  <si>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</si>
  <si>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</si>
  <si>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</si>
  <si>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</si>
  <si>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</si>
  <si>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</si>
  <si>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</si>
  <si>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</si>
  <si>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</si>
  <si>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</si>
  <si>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</si>
  <si>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</si>
  <si>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</si>
  <si>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</si>
  <si>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</si>
  <si>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</si>
  <si>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</si>
  <si>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</si>
  <si>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</si>
  <si>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</si>
  <si>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</si>
  <si>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</si>
  <si>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</si>
  <si>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</si>
  <si>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</si>
  <si>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</si>
  <si>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</si>
  <si>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</si>
  <si>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</si>
  <si>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</si>
  <si>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</si>
  <si>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</si>
  <si>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</si>
  <si>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</si>
  <si>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</si>
  <si>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</si>
  <si>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</si>
  <si>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</si>
  <si>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</si>
  <si>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</si>
  <si>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</si>
  <si>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</si>
  <si>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DE_GMK04</t>
  </si>
  <si>
    <t>DE_GHA04</t>
  </si>
  <si>
    <t>DE_GKO04</t>
  </si>
  <si>
    <t>DE_GBD04</t>
  </si>
  <si>
    <t>DE_GGA04</t>
  </si>
  <si>
    <t>DE_GBH04</t>
  </si>
  <si>
    <t>DE_GWA04</t>
  </si>
  <si>
    <t>DE_GHD04</t>
  </si>
  <si>
    <t>DE_GGB04</t>
  </si>
  <si>
    <t>DE_GPD04</t>
  </si>
  <si>
    <t>DE_GMF04</t>
  </si>
  <si>
    <t>DE_GBA04</t>
  </si>
  <si>
    <t>Nordfeldstraße 5</t>
  </si>
  <si>
    <t>Versmold</t>
  </si>
  <si>
    <t>Henrik Kirschke</t>
  </si>
  <si>
    <t>kirschke@stadtwerke-versmold.de</t>
  </si>
  <si>
    <t>05423 9519-360</t>
  </si>
  <si>
    <t>FMO</t>
  </si>
  <si>
    <t>SWV Regional GmbH</t>
  </si>
  <si>
    <t>9870115100008</t>
  </si>
  <si>
    <t>NCHN007011510000</t>
  </si>
  <si>
    <t>Dissen, Bad Rothenfelde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</si>
</sst>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4019074</xdr:colOff>
      <xdr:row>0</xdr:row>
      <xdr:rowOff>779145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2039144</xdr:colOff>
      <xdr:row>0</xdr:row>
      <xdr:rowOff>819150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593884</xdr:colOff>
      <xdr:row>0</xdr:row>
      <xdr:rowOff>788670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2029619</xdr:colOff>
      <xdr:row>0</xdr:row>
      <xdr:rowOff>815340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1591583</xdr:colOff>
      <xdr:row>47</xdr:row>
      <xdr:rowOff>131826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162877</xdr:colOff>
      <xdr:row>0</xdr:row>
      <xdr:rowOff>792480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809625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665321</xdr:colOff>
      <xdr:row>0</xdr:row>
      <xdr:rowOff>779145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1888649</xdr:colOff>
      <xdr:row>0</xdr:row>
      <xdr:rowOff>819150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782239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topLeftCell="A13" zoomScale="80" zoomScaleNormal="80" workbookViewId="0">
      <selection activeCell="J19" sqref="J19"/>
    </sheetView>
  </sheetViews>
  <sheetFormatPr baseColWidth="10" defaultColWidth="0" defaultRowHeight="14.4" zeroHeight="1"/>
  <cols>
    <col min="1" max="1" width="2.88671875" customWidth="1"/>
    <col min="2" max="15" width="11.44140625" customWidth="1"/>
    <col min="16" max="16384" width="11.44140625" hidden="1"/>
  </cols>
  <sheetData>
    <row r="1" spans="2:7" ht="75.75" customHeight="1"/>
    <row r="2" spans="2:7" ht="23.4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653</v>
      </c>
    </row>
    <row r="8" spans="2:7" s="8" customFormat="1">
      <c r="B8" s="8" t="s">
        <v>656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654</v>
      </c>
    </row>
    <row r="12" spans="2:7" s="8" customFormat="1">
      <c r="B12" s="8" t="s">
        <v>497</v>
      </c>
    </row>
    <row r="13" spans="2:7" s="8" customFormat="1">
      <c r="B13" s="8" t="s">
        <v>655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7" t="s">
        <v>646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opLeftCell="A31" zoomScale="80" zoomScaleNormal="80" workbookViewId="0">
      <selection activeCell="E23" sqref="E23"/>
    </sheetView>
  </sheetViews>
  <sheetFormatPr baseColWidth="10" defaultColWidth="0" defaultRowHeight="14.4" zeroHeight="1"/>
  <cols>
    <col min="1" max="1" width="2.88671875" style="8" customWidth="1"/>
    <col min="2" max="2" width="5.88671875" style="2" customWidth="1"/>
    <col min="3" max="3" width="65" customWidth="1"/>
    <col min="4" max="4" width="49.109375" customWidth="1"/>
    <col min="5" max="5" width="11.44140625" customWidth="1"/>
    <col min="6" max="6" width="75.6640625" hidden="1" customWidth="1"/>
    <col min="7" max="16384" width="11.44140625" hidden="1"/>
  </cols>
  <sheetData>
    <row r="1" spans="1:8" s="8" customFormat="1" ht="75.75" customHeight="1"/>
    <row r="2" spans="1:8" s="8" customFormat="1" ht="23.4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650</v>
      </c>
      <c r="D4" s="27">
        <v>43678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649</v>
      </c>
      <c r="D6" s="27">
        <v>43831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675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1" t="s">
        <v>676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669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33775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670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671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672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673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395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SWV Regional GmbH</v>
      </c>
      <c r="E28" s="38"/>
      <c r="F28" s="11"/>
      <c r="G28" s="2"/>
    </row>
    <row r="29" spans="1:15">
      <c r="B29" s="15"/>
      <c r="C29" s="22" t="s">
        <v>395</v>
      </c>
      <c r="D29" s="45" t="s">
        <v>675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topLeftCell="A19" zoomScale="80" zoomScaleNormal="80" workbookViewId="0">
      <selection activeCell="E45" sqref="E45"/>
    </sheetView>
  </sheetViews>
  <sheetFormatPr baseColWidth="10" defaultColWidth="0" defaultRowHeight="18" customHeight="1"/>
  <cols>
    <col min="1" max="1" width="2.88671875" style="8" customWidth="1"/>
    <col min="2" max="2" width="5.88671875" style="8" customWidth="1"/>
    <col min="3" max="3" width="51.44140625" style="8" customWidth="1"/>
    <col min="4" max="4" width="33.109375" style="8" customWidth="1"/>
    <col min="5" max="5" width="26.5546875" style="8" customWidth="1"/>
    <col min="6" max="39" width="8.88671875" style="13" hidden="1" customWidth="1"/>
    <col min="40" max="16384" width="8.88671875" style="8" hidden="1"/>
  </cols>
  <sheetData>
    <row r="1" spans="2:15" ht="75" customHeight="1"/>
    <row r="2" spans="2:15" ht="23.4">
      <c r="B2" s="9" t="s">
        <v>269</v>
      </c>
    </row>
    <row r="3" spans="2:15" ht="14.4"/>
    <row r="4" spans="2:15" ht="14.4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SWV Regional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SWV Regional GmbH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9870115100008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43831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611</v>
      </c>
      <c r="D13" s="33" t="s">
        <v>612</v>
      </c>
      <c r="E13" s="15"/>
      <c r="H13" s="271" t="s">
        <v>612</v>
      </c>
      <c r="I13" s="271" t="s">
        <v>613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677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428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368</v>
      </c>
      <c r="D18" s="49" t="s">
        <v>135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 zeitnah ermittelter Netzustand bestimmt Höhe der täglichen Allokation</v>
      </c>
      <c r="D19" s="16"/>
      <c r="E19" s="15"/>
      <c r="H19" s="270" t="s">
        <v>571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SLPana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609</v>
      </c>
      <c r="D22" s="49" t="s">
        <v>605</v>
      </c>
      <c r="E22" s="15"/>
      <c r="H22" s="267" t="s">
        <v>605</v>
      </c>
      <c r="I22" s="267" t="s">
        <v>606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607</v>
      </c>
      <c r="E23" s="15"/>
      <c r="H23" s="267" t="s">
        <v>608</v>
      </c>
      <c r="I23" s="8" t="s">
        <v>604</v>
      </c>
      <c r="J23" s="8"/>
      <c r="K23" s="8"/>
      <c r="L23" s="268"/>
    </row>
    <row r="24" spans="2:16" ht="15" customHeight="1">
      <c r="B24" s="22"/>
      <c r="C24" s="24" t="s">
        <v>610</v>
      </c>
      <c r="D24" s="24" t="str">
        <f>IF(D22=$H$22,L24,IF(D23=$H$24,M24,N24))</f>
        <v>=&gt;  Q(D) = KW  x  h(T, SLP-Typ)  x  F(WT)</v>
      </c>
      <c r="E24" s="15"/>
      <c r="H24" s="267" t="s">
        <v>607</v>
      </c>
      <c r="I24" s="267" t="s">
        <v>614</v>
      </c>
      <c r="J24" s="8"/>
      <c r="K24" s="8"/>
      <c r="L24" s="270" t="s">
        <v>615</v>
      </c>
      <c r="M24" s="270" t="s">
        <v>617</v>
      </c>
      <c r="N24" s="270" t="s">
        <v>616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574</v>
      </c>
      <c r="D26" s="42" t="s">
        <v>134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618</v>
      </c>
      <c r="D27" s="42" t="s">
        <v>619</v>
      </c>
      <c r="E27" s="15"/>
      <c r="H27" s="297" t="s">
        <v>619</v>
      </c>
      <c r="I27" s="269" t="s">
        <v>620</v>
      </c>
      <c r="J27" s="269" t="s">
        <v>621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622</v>
      </c>
      <c r="I28" s="270" t="s">
        <v>623</v>
      </c>
      <c r="J28" s="270" t="s">
        <v>624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625</v>
      </c>
      <c r="I29" s="270" t="s">
        <v>626</v>
      </c>
      <c r="J29" s="270" t="s">
        <v>627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573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628</v>
      </c>
      <c r="I32" s="270" t="s">
        <v>629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630</v>
      </c>
      <c r="I33" s="267" t="s">
        <v>625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545</v>
      </c>
      <c r="C35" s="24" t="s">
        <v>494</v>
      </c>
      <c r="D35" s="42">
        <v>15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546</v>
      </c>
      <c r="C37" s="5" t="s">
        <v>365</v>
      </c>
      <c r="D37" s="34">
        <v>1500000</v>
      </c>
      <c r="E37" s="15" t="s">
        <v>503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547</v>
      </c>
      <c r="C40" s="5" t="s">
        <v>366</v>
      </c>
      <c r="D40" s="36">
        <v>500</v>
      </c>
      <c r="E40" s="15" t="s">
        <v>537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536</v>
      </c>
    </row>
    <row r="44" spans="2:39" ht="18" customHeight="1">
      <c r="C44" s="3" t="s">
        <v>538</v>
      </c>
    </row>
    <row r="45" spans="2:39" ht="18" customHeight="1">
      <c r="C45" s="3"/>
    </row>
    <row r="46" spans="2:39" ht="15" customHeight="1">
      <c r="B46" s="22" t="s">
        <v>548</v>
      </c>
      <c r="C46" s="60" t="s">
        <v>572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582</v>
      </c>
      <c r="D48" s="45" t="s">
        <v>678</v>
      </c>
    </row>
    <row r="49" spans="3:4" ht="18" customHeight="1">
      <c r="C49" s="22" t="s">
        <v>583</v>
      </c>
      <c r="D49" s="45"/>
    </row>
    <row r="50" spans="3:4" ht="18" customHeight="1">
      <c r="C50" s="22" t="s">
        <v>584</v>
      </c>
      <c r="D50" s="45"/>
    </row>
    <row r="51" spans="3:4" ht="18" customHeight="1">
      <c r="C51" s="22" t="s">
        <v>585</v>
      </c>
      <c r="D51" s="45"/>
    </row>
    <row r="52" spans="3:4" ht="18" customHeight="1">
      <c r="C52" s="22" t="s">
        <v>586</v>
      </c>
      <c r="D52" s="45"/>
    </row>
    <row r="53" spans="3:4" ht="18" customHeight="1">
      <c r="C53" s="22" t="s">
        <v>587</v>
      </c>
      <c r="D53" s="45"/>
    </row>
    <row r="54" spans="3:4" ht="18" customHeight="1">
      <c r="C54" s="22" t="s">
        <v>588</v>
      </c>
      <c r="D54" s="45"/>
    </row>
    <row r="55" spans="3:4" ht="18" customHeight="1">
      <c r="C55" s="22" t="s">
        <v>589</v>
      </c>
      <c r="D55" s="45"/>
    </row>
    <row r="56" spans="3:4" ht="18" customHeight="1">
      <c r="C56" s="22" t="s">
        <v>590</v>
      </c>
      <c r="D56" s="45"/>
    </row>
    <row r="57" spans="3:4" ht="18" customHeight="1">
      <c r="C57" s="22" t="s">
        <v>591</v>
      </c>
      <c r="D57" s="45"/>
    </row>
    <row r="58" spans="3:4" ht="18" customHeight="1">
      <c r="C58" s="22" t="s">
        <v>592</v>
      </c>
      <c r="D58" s="45"/>
    </row>
    <row r="59" spans="3:4" ht="18" customHeight="1">
      <c r="C59" s="22" t="s">
        <v>593</v>
      </c>
      <c r="D59" s="45"/>
    </row>
    <row r="60" spans="3:4" ht="18" customHeight="1">
      <c r="C60" s="22" t="s">
        <v>594</v>
      </c>
      <c r="D60" s="45"/>
    </row>
    <row r="61" spans="3:4" ht="18" customHeight="1">
      <c r="C61" s="22" t="s">
        <v>595</v>
      </c>
      <c r="D61" s="45"/>
    </row>
    <row r="62" spans="3:4" ht="18" customHeight="1">
      <c r="C62" s="22" t="s">
        <v>596</v>
      </c>
      <c r="D62" s="45"/>
    </row>
  </sheetData>
  <sheetProtection sheet="1" objects="1" scenarios="1"/>
  <conditionalFormatting sqref="D16">
    <cfRule type="expression" dxfId="57" priority="19">
      <formula>IF($D$11="NCG",1,0)</formula>
    </cfRule>
  </conditionalFormatting>
  <conditionalFormatting sqref="D48:D62">
    <cfRule type="expression" dxfId="56" priority="18">
      <formula>IF(CELL("Zeile",D48)&lt;$D$46+CELL("Zeile",$D$48),1,0)</formula>
    </cfRule>
  </conditionalFormatting>
  <conditionalFormatting sqref="D49:D62">
    <cfRule type="expression" dxfId="55" priority="17">
      <formula>IF(CELL(D49)&lt;$D$36+27,1,0)</formula>
    </cfRule>
  </conditionalFormatting>
  <conditionalFormatting sqref="D23">
    <cfRule type="expression" dxfId="54" priority="16">
      <formula>IF($D$22=$H$22,1,0)</formula>
    </cfRule>
  </conditionalFormatting>
  <conditionalFormatting sqref="D31">
    <cfRule type="expression" dxfId="53" priority="5">
      <formula>IF($D$18="synthetisch",1,0)</formula>
    </cfRule>
  </conditionalFormatting>
  <conditionalFormatting sqref="D28">
    <cfRule type="expression" dxfId="52" priority="3">
      <formula>IF(AND($D$27=$I$27,$D$26=$H$26),1,0)</formula>
    </cfRule>
  </conditionalFormatting>
  <conditionalFormatting sqref="D26:D28">
    <cfRule type="expression" dxfId="51" priority="6">
      <formula>IF($D$18="analytisch",1,0)</formula>
    </cfRule>
  </conditionalFormatting>
  <conditionalFormatting sqref="D27">
    <cfRule type="expression" dxfId="50" priority="4">
      <formula>IF($D$26="nein",1)</formula>
    </cfRule>
  </conditionalFormatting>
  <conditionalFormatting sqref="D15">
    <cfRule type="expression" dxfId="49" priority="1">
      <formula>IF($D$11="Gaspool",1,0)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XFC78"/>
  <sheetViews>
    <sheetView showGridLines="0" zoomScale="85" zoomScaleNormal="85" workbookViewId="0">
      <selection activeCell="L52" sqref="L52"/>
    </sheetView>
  </sheetViews>
  <sheetFormatPr baseColWidth="10" defaultColWidth="0" defaultRowHeight="14.4" zeroHeight="1"/>
  <cols>
    <col min="1" max="1" width="2.88671875" style="127" customWidth="1"/>
    <col min="2" max="2" width="5.44140625" style="127" customWidth="1"/>
    <col min="3" max="3" width="37.5546875" style="127" customWidth="1"/>
    <col min="4" max="4" width="12.5546875" style="127" customWidth="1"/>
    <col min="5" max="14" width="12.6640625" style="127" customWidth="1"/>
    <col min="15" max="15" width="34.109375" style="127" customWidth="1"/>
    <col min="16" max="16" width="7.33203125" style="169" customWidth="1"/>
    <col min="17" max="18" width="7.33203125" style="207" hidden="1" customWidth="1"/>
    <col min="19" max="19" width="13.44140625" style="207" hidden="1" customWidth="1"/>
    <col min="20" max="20" width="23.5546875" style="207" hidden="1" customWidth="1"/>
    <col min="21" max="21" width="5.44140625" style="207" hidden="1" customWidth="1"/>
    <col min="22" max="22" width="5" style="207" hidden="1" customWidth="1"/>
    <col min="23" max="23" width="5.33203125" style="207" hidden="1" customWidth="1"/>
    <col min="24" max="24" width="5" style="207" hidden="1" customWidth="1"/>
    <col min="25" max="25" width="8.109375" style="207" hidden="1" customWidth="1"/>
    <col min="26" max="26" width="11.6640625" style="207" hidden="1" customWidth="1"/>
    <col min="27" max="27" width="8.88671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2:56" ht="75" customHeight="1"/>
    <row r="2" spans="2:56" ht="23.4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SWV Regional GmbH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SWV Regional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9870115100008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43831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1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 t="str">
        <f>INDEX('SLP-Verfahren'!D48:D62,'SLP-Temp-Gebiet #01'!F10)</f>
        <v>Dissen, Bad Rothenfelde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580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/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674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>
        <v>10315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5.6">
      <c r="B39" s="191"/>
      <c r="C39" s="195" t="s">
        <v>349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">
        <v>139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FMO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>
        <f>E25</f>
        <v>10315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v>1</v>
      </c>
    </row>
    <row r="63" spans="2:28" ht="15" customHeight="1">
      <c r="E63" s="176">
        <f>IF(E64&gt;$F$62,0,1)</f>
        <v>1</v>
      </c>
      <c r="F63" s="176">
        <f t="shared" ref="F63:N63" si="11">IF(F64&gt;$F$62,0,1)</f>
        <v>0</v>
      </c>
      <c r="G63" s="176">
        <f t="shared" si="11"/>
        <v>0</v>
      </c>
      <c r="H63" s="176">
        <f t="shared" si="11"/>
        <v>0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1</v>
      </c>
      <c r="F65" s="279">
        <f>ROUND(F66/$D$66,4)</f>
        <v>0.5</v>
      </c>
      <c r="G65" s="279">
        <f t="shared" ref="G65:N65" si="12">ROUND(G66/$D$66,4)</f>
        <v>0.25</v>
      </c>
      <c r="H65" s="279">
        <f t="shared" si="12"/>
        <v>0.125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529</v>
      </c>
      <c r="D66" s="184">
        <f>SUMPRODUCT(E66:N66,E63:N63)</f>
        <v>1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F26:N26 E56:N56 E22:F22 I22:N22 F52 G24:N24 G70:N70 E32:N34 E69:N69 E60:N60 F57:N57 F58:N58 F25:N25 F59:N5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8671875" style="127" customWidth="1"/>
    <col min="2" max="2" width="5.44140625" style="127" customWidth="1"/>
    <col min="3" max="3" width="37.5546875" style="127" customWidth="1"/>
    <col min="4" max="4" width="12.5546875" style="127" customWidth="1"/>
    <col min="5" max="14" width="12.6640625" style="127" customWidth="1"/>
    <col min="15" max="15" width="34.109375" style="127" customWidth="1"/>
    <col min="16" max="16" width="7.33203125" style="169" customWidth="1"/>
    <col min="17" max="18" width="7.33203125" style="207" hidden="1" customWidth="1"/>
    <col min="19" max="19" width="13.44140625" style="207" hidden="1" customWidth="1"/>
    <col min="20" max="20" width="23.5546875" style="207" hidden="1" customWidth="1"/>
    <col min="21" max="21" width="5.44140625" style="207" hidden="1" customWidth="1"/>
    <col min="22" max="22" width="5" style="207" hidden="1" customWidth="1"/>
    <col min="23" max="23" width="5.33203125" style="207" hidden="1" customWidth="1"/>
    <col min="24" max="24" width="5" style="207" hidden="1" customWidth="1"/>
    <col min="25" max="25" width="8.109375" style="207" hidden="1" customWidth="1"/>
    <col min="26" max="26" width="11.6640625" style="207" hidden="1" customWidth="1"/>
    <col min="27" max="27" width="8.88671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2:56" ht="75" customHeight="1"/>
    <row r="2" spans="2:56" ht="23.4">
      <c r="B2" s="170" t="s">
        <v>540</v>
      </c>
    </row>
    <row r="3" spans="2:56" ht="15" customHeight="1">
      <c r="B3" s="170"/>
    </row>
    <row r="4" spans="2:56" ht="14.4">
      <c r="B4" s="129"/>
      <c r="C4" s="56" t="s">
        <v>445</v>
      </c>
      <c r="D4" s="57"/>
      <c r="E4" s="330" t="str">
        <f>Netzbetreiber!$D$9</f>
        <v>SWV Regional GmbH</v>
      </c>
      <c r="F4" s="129"/>
      <c r="M4" s="129"/>
      <c r="N4" s="129"/>
      <c r="O4" s="129"/>
    </row>
    <row r="5" spans="2:56" ht="14.4">
      <c r="B5" s="129"/>
      <c r="C5" s="56" t="s">
        <v>444</v>
      </c>
      <c r="D5" s="57"/>
      <c r="E5" s="58" t="str">
        <f>Netzbetreiber!$D$28</f>
        <v>SWV Regional GmbH</v>
      </c>
      <c r="F5" s="129"/>
      <c r="G5" s="129"/>
      <c r="H5" s="129"/>
      <c r="M5" s="129"/>
      <c r="N5" s="129"/>
      <c r="O5" s="129"/>
    </row>
    <row r="6" spans="2:56" ht="14.4">
      <c r="B6" s="129"/>
      <c r="C6" s="60" t="s">
        <v>486</v>
      </c>
      <c r="D6" s="57"/>
      <c r="E6" s="329" t="str">
        <f>Netzbetreiber!$D$11</f>
        <v>9870115100008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 ht="14.4">
      <c r="B7" s="129"/>
      <c r="C7" s="56" t="s">
        <v>133</v>
      </c>
      <c r="D7" s="57"/>
      <c r="E7" s="50">
        <f>Netzbetreiber!$D$6</f>
        <v>43831</v>
      </c>
      <c r="F7" s="129"/>
      <c r="G7" s="129"/>
      <c r="J7" s="129"/>
      <c r="K7" s="129"/>
      <c r="L7" s="129"/>
      <c r="M7" s="129"/>
      <c r="N7" s="129"/>
      <c r="O7" s="129"/>
    </row>
    <row r="8" spans="2:56" ht="14.4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 ht="14.4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 ht="14.4">
      <c r="B10" s="129"/>
      <c r="C10" s="56" t="s">
        <v>581</v>
      </c>
      <c r="D10" s="129"/>
      <c r="E10" s="129"/>
      <c r="F10" s="49">
        <v>2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 ht="14.4">
      <c r="B11" s="129"/>
      <c r="C11" s="56" t="s">
        <v>599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 ht="14.4"/>
    <row r="13" spans="2:56" ht="18" customHeight="1">
      <c r="B13" s="129"/>
      <c r="C13" s="342" t="s">
        <v>580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524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 ht="14.4">
      <c r="B18" s="129"/>
      <c r="C18" s="56" t="s">
        <v>520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ht="14.4">
      <c r="B21" s="181"/>
      <c r="C21" s="182" t="s">
        <v>522</v>
      </c>
      <c r="D21" s="152" t="s">
        <v>512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ht="14.4">
      <c r="B22" s="181"/>
      <c r="C22" s="182" t="s">
        <v>533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ht="14.4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 ht="14.4">
      <c r="B24" s="181"/>
      <c r="C24" s="185" t="s">
        <v>517</v>
      </c>
      <c r="D24" s="186"/>
      <c r="E24" s="155" t="s">
        <v>577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ht="14.4">
      <c r="B25" s="181"/>
      <c r="C25" s="185" t="s">
        <v>511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ht="14.4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ht="14.4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ht="14.4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ht="14.4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ht="14.4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ht="14.4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4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 ht="14.4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ht="14.4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ht="14.4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 ht="14.4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5.6">
      <c r="B39" s="191"/>
      <c r="C39" s="195" t="s">
        <v>349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 ht="14.4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 ht="14.4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 ht="14.4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 ht="14.4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 ht="14.4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 ht="14.4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 ht="14.4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 ht="14.4">
      <c r="B47" s="191"/>
      <c r="C47" s="198" t="s">
        <v>348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 ht="14.4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 ht="14.4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 ht="14.4">
      <c r="B52" s="129"/>
      <c r="C52" s="56" t="s">
        <v>539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 ht="14.4">
      <c r="B55" s="181"/>
      <c r="C55" s="182" t="s">
        <v>522</v>
      </c>
      <c r="D55" s="152" t="s">
        <v>512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 ht="14.4">
      <c r="B56" s="181"/>
      <c r="C56" s="182" t="s">
        <v>533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 ht="14.4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 ht="14.4">
      <c r="B58" s="181"/>
      <c r="C58" s="185" t="s">
        <v>517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 ht="14.4">
      <c r="B59" s="181"/>
      <c r="C59" s="185" t="s">
        <v>511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 ht="14.4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 ht="14.4"/>
    <row r="62" spans="2:28" ht="14.4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 ht="14.4">
      <c r="B65" s="181"/>
      <c r="C65" s="182" t="s">
        <v>523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 ht="14.4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 ht="14.4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 ht="14.4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 ht="14.4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 ht="14.4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 ht="14.4"/>
    <row r="72" spans="2:15" ht="15.75" customHeight="1">
      <c r="C72" s="344" t="s">
        <v>576</v>
      </c>
      <c r="D72" s="344"/>
      <c r="E72" s="344"/>
      <c r="F72" s="344"/>
    </row>
    <row r="73" spans="2:15" ht="14.4"/>
    <row r="74" spans="2:15" ht="14.4" hidden="1"/>
    <row r="75" spans="2:15" ht="14.4" hidden="1"/>
    <row r="76" spans="2:15" ht="14.4" hidden="1"/>
    <row r="77" spans="2:15" ht="14.4" hidden="1"/>
    <row r="78" spans="2:15" ht="14.4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abSelected="1" zoomScale="80" zoomScaleNormal="80" workbookViewId="0">
      <selection activeCell="I30" sqref="I30"/>
    </sheetView>
  </sheetViews>
  <sheetFormatPr baseColWidth="10" defaultColWidth="0" defaultRowHeight="14.4" zeroHeight="1"/>
  <cols>
    <col min="1" max="1" width="2.88671875" style="127" customWidth="1"/>
    <col min="2" max="2" width="8" style="127" customWidth="1"/>
    <col min="3" max="3" width="37.44140625" style="127" customWidth="1"/>
    <col min="4" max="4" width="10.6640625" style="127" customWidth="1"/>
    <col min="5" max="6" width="11.44140625" style="127" customWidth="1"/>
    <col min="8" max="8" width="12.6640625" style="127" customWidth="1"/>
    <col min="9" max="9" width="15.44140625" style="127" customWidth="1"/>
    <col min="10" max="11" width="12.6640625" style="127" customWidth="1"/>
    <col min="12" max="12" width="11.44140625" style="127" customWidth="1"/>
    <col min="13" max="16" width="12.6640625" style="127" customWidth="1"/>
    <col min="17" max="17" width="14.109375" style="127" customWidth="1"/>
    <col min="18" max="24" width="11.44140625" style="127" customWidth="1"/>
    <col min="25" max="25" width="20.109375" style="127" customWidth="1"/>
    <col min="26" max="26" width="11.44140625" style="127" customWidth="1"/>
    <col min="27" max="16384" width="11.44140625" style="127" hidden="1"/>
  </cols>
  <sheetData>
    <row r="1" spans="2:26" ht="75" customHeight="1" thickBot="1"/>
    <row r="2" spans="2:26" ht="23.4">
      <c r="B2" s="128" t="s">
        <v>364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SWV Regional GmbH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SWV Regional GmbH</v>
      </c>
      <c r="E6" s="129"/>
      <c r="F6" s="129"/>
      <c r="K6" s="130" t="s">
        <v>505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9870115100008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43831</v>
      </c>
      <c r="E8" s="129"/>
      <c r="F8" s="129"/>
      <c r="H8" s="127" t="s">
        <v>494</v>
      </c>
      <c r="J8" s="131">
        <f>COUNTA(D12:D100)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3.8" thickBot="1">
      <c r="B10" s="133" t="s">
        <v>248</v>
      </c>
      <c r="C10" s="134" t="s">
        <v>493</v>
      </c>
      <c r="D10" s="133" t="s">
        <v>147</v>
      </c>
      <c r="E10" s="272" t="s">
        <v>507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631</v>
      </c>
      <c r="M10" s="149" t="s">
        <v>640</v>
      </c>
      <c r="N10" s="150" t="s">
        <v>641</v>
      </c>
      <c r="O10" s="150" t="s">
        <v>642</v>
      </c>
      <c r="P10" s="151" t="s">
        <v>643</v>
      </c>
      <c r="Q10" s="145" t="s">
        <v>632</v>
      </c>
      <c r="R10" s="135" t="s">
        <v>633</v>
      </c>
      <c r="S10" s="136" t="s">
        <v>634</v>
      </c>
      <c r="T10" s="136" t="s">
        <v>635</v>
      </c>
      <c r="U10" s="136" t="s">
        <v>636</v>
      </c>
      <c r="V10" s="136" t="s">
        <v>637</v>
      </c>
      <c r="W10" s="136" t="s">
        <v>638</v>
      </c>
      <c r="X10" s="137" t="s">
        <v>639</v>
      </c>
      <c r="Y10" s="294" t="s">
        <v>644</v>
      </c>
    </row>
    <row r="11" spans="2:26" ht="15" thickBot="1">
      <c r="B11" s="138" t="s">
        <v>495</v>
      </c>
      <c r="C11" s="139" t="s">
        <v>506</v>
      </c>
      <c r="D11" s="293" t="s">
        <v>247</v>
      </c>
      <c r="E11" s="163" t="s">
        <v>513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SWV Regional GmbH</v>
      </c>
      <c r="D12" s="62" t="s">
        <v>247</v>
      </c>
      <c r="E12" s="164" t="s">
        <v>24</v>
      </c>
      <c r="F12" s="296" t="str">
        <f>VLOOKUP($E12,'BDEW-Standard'!$B$3:$M$158,F$9,0)</f>
        <v>I14</v>
      </c>
      <c r="H12" s="273">
        <f>ROUND(VLOOKUP($E12,'BDEW-Standard'!$B$3:$M$158,H$9,0),7)</f>
        <v>3.1935978</v>
      </c>
      <c r="I12" s="273">
        <f>ROUND(VLOOKUP($E12,'BDEW-Standard'!$B$3:$M$158,I$9,0),7)</f>
        <v>-37.414247799999998</v>
      </c>
      <c r="J12" s="273">
        <f>ROUND(VLOOKUP($E12,'BDEW-Standard'!$B$3:$M$158,J$9,0),7)</f>
        <v>6.1824021</v>
      </c>
      <c r="K12" s="273">
        <f>ROUND(VLOOKUP($E12,'BDEW-Standard'!$B$3:$M$158,K$9,0),7)</f>
        <v>8.1086000000000005E-2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6" si="1">($H12/(1+($I12/($Q$9-$L12))^$J12)+$K12)+MAX($M12*$Q$9+$N12,$O12*$Q$9+$P12)</f>
        <v>0.96123311186795624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SWV Regional GmbH</v>
      </c>
      <c r="D13" s="62" t="s">
        <v>247</v>
      </c>
      <c r="E13" s="164" t="s">
        <v>32</v>
      </c>
      <c r="F13" s="296" t="str">
        <f>VLOOKUP($E13,'BDEW-Standard'!$B$3:$M$158,F$9,0)</f>
        <v>I24</v>
      </c>
      <c r="H13" s="273">
        <f>ROUND(VLOOKUP($E13,'BDEW-Standard'!$B$3:$M$158,H$9,0),7)</f>
        <v>2.529738</v>
      </c>
      <c r="I13" s="273">
        <f>ROUND(VLOOKUP($E13,'BDEW-Standard'!$B$3:$M$158,I$9,0),7)</f>
        <v>-35.0300145</v>
      </c>
      <c r="J13" s="273">
        <f>ROUND(VLOOKUP($E13,'BDEW-Standard'!$B$3:$M$158,J$9,0),7)</f>
        <v>6.2051109000000002</v>
      </c>
      <c r="K13" s="273">
        <f>ROUND(VLOOKUP($E13,'BDEW-Standard'!$B$3:$M$158,K$9,0),7)</f>
        <v>0.1058318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1.0247084991768873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6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SWV Regional GmbH</v>
      </c>
      <c r="D14" s="62" t="s">
        <v>247</v>
      </c>
      <c r="E14" s="164" t="s">
        <v>4</v>
      </c>
      <c r="F14" s="296" t="str">
        <f>VLOOKUP($E14,'BDEW-Standard'!$B$3:$M$158,F$9,0)</f>
        <v>HK3</v>
      </c>
      <c r="H14" s="273">
        <f>ROUND(VLOOKUP($E14,'BDEW-Standard'!$B$3:$M$158,H$9,0),7)</f>
        <v>0.40409319999999999</v>
      </c>
      <c r="I14" s="273">
        <f>ROUND(VLOOKUP($E14,'BDEW-Standard'!$B$3:$M$158,I$9,0),7)</f>
        <v>-24.439296800000001</v>
      </c>
      <c r="J14" s="273">
        <f>ROUND(VLOOKUP($E14,'BDEW-Standard'!$B$3:$M$158,J$9,0),7)</f>
        <v>6.5718174999999999</v>
      </c>
      <c r="K14" s="273">
        <f>ROUND(VLOOKUP($E14,'BDEW-Standard'!$B$3:$M$158,K$9,0),7)</f>
        <v>0.71077100000000004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SWV Regional GmbH</v>
      </c>
      <c r="D15" s="62" t="s">
        <v>247</v>
      </c>
      <c r="E15" s="164" t="s">
        <v>657</v>
      </c>
      <c r="F15" s="296" t="str">
        <f>VLOOKUP($E15,'BDEW-Standard'!$B$3:$M$158,F$9,0)</f>
        <v>MK4</v>
      </c>
      <c r="H15" s="273">
        <f>ROUND(VLOOKUP($E15,'BDEW-Standard'!$B$3:$M$158,H$9,0),7)</f>
        <v>3.1177248</v>
      </c>
      <c r="I15" s="273">
        <f>ROUND(VLOOKUP($E15,'BDEW-Standard'!$B$3:$M$158,I$9,0),7)</f>
        <v>-35.871506199999999</v>
      </c>
      <c r="J15" s="273">
        <f>ROUND(VLOOKUP($E15,'BDEW-Standard'!$B$3:$M$158,J$9,0),7)</f>
        <v>7.5186828999999999</v>
      </c>
      <c r="K15" s="273">
        <f>ROUND(VLOOKUP($E15,'BDEW-Standard'!$B$3:$M$158,K$9,0),7)</f>
        <v>3.4330100000000002E-2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0.9622064996731321</v>
      </c>
      <c r="R15" s="274">
        <f>ROUND(VLOOKUP(MID($E15,4,3),'Wochentag F(WT)'!$B$7:$J$22,R$9,0),4)</f>
        <v>1.0699000000000001</v>
      </c>
      <c r="S15" s="274">
        <f>ROUND(VLOOKUP(MID($E15,4,3),'Wochentag F(WT)'!$B$7:$J$22,S$9,0),4)</f>
        <v>1.0365</v>
      </c>
      <c r="T15" s="274">
        <f>ROUND(VLOOKUP(MID($E15,4,3),'Wochentag F(WT)'!$B$7:$J$22,T$9,0),4)</f>
        <v>0.99329999999999996</v>
      </c>
      <c r="U15" s="274">
        <f>ROUND(VLOOKUP(MID($E15,4,3),'Wochentag F(WT)'!$B$7:$J$22,U$9,0),4)</f>
        <v>0.99480000000000002</v>
      </c>
      <c r="V15" s="274">
        <f>ROUND(VLOOKUP(MID($E15,4,3),'Wochentag F(WT)'!$B$7:$J$22,V$9,0),4)</f>
        <v>1.0659000000000001</v>
      </c>
      <c r="W15" s="274">
        <f>ROUND(VLOOKUP(MID($E15,4,3),'Wochentag F(WT)'!$B$7:$J$22,W$9,0),4)</f>
        <v>0.93620000000000003</v>
      </c>
      <c r="X15" s="275">
        <f t="shared" si="2"/>
        <v>0.90339999999999954</v>
      </c>
      <c r="Y15" s="292"/>
      <c r="Z15" s="210"/>
    </row>
    <row r="16" spans="2:26" s="142" customFormat="1">
      <c r="B16" s="143">
        <v>5</v>
      </c>
      <c r="C16" s="144" t="str">
        <f t="shared" si="0"/>
        <v>SWV Regional GmbH</v>
      </c>
      <c r="D16" s="62" t="s">
        <v>247</v>
      </c>
      <c r="E16" s="164" t="s">
        <v>658</v>
      </c>
      <c r="F16" s="296" t="str">
        <f>VLOOKUP($E16,'BDEW-Standard'!$B$3:$M$158,F$9,0)</f>
        <v>HA4</v>
      </c>
      <c r="H16" s="273">
        <f>ROUND(VLOOKUP($E16,'BDEW-Standard'!$B$3:$M$158,H$9,0),7)</f>
        <v>4.0196902000000003</v>
      </c>
      <c r="I16" s="273">
        <f>ROUND(VLOOKUP($E16,'BDEW-Standard'!$B$3:$M$158,I$9,0),7)</f>
        <v>-37.828203700000003</v>
      </c>
      <c r="J16" s="273">
        <f>ROUND(VLOOKUP($E16,'BDEW-Standard'!$B$3:$M$158,J$9,0),7)</f>
        <v>8.1593368999999996</v>
      </c>
      <c r="K16" s="273">
        <f>ROUND(VLOOKUP($E16,'BDEW-Standard'!$B$3:$M$158,K$9,0),7)</f>
        <v>4.72845E-2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0.86486713303260787</v>
      </c>
      <c r="R16" s="274">
        <f>ROUND(VLOOKUP(MID($E16,4,3),'Wochentag F(WT)'!$B$7:$J$22,R$9,0),4)</f>
        <v>1.0358000000000001</v>
      </c>
      <c r="S16" s="274">
        <f>ROUND(VLOOKUP(MID($E16,4,3),'Wochentag F(WT)'!$B$7:$J$22,S$9,0),4)</f>
        <v>1.0232000000000001</v>
      </c>
      <c r="T16" s="274">
        <f>ROUND(VLOOKUP(MID($E16,4,3),'Wochentag F(WT)'!$B$7:$J$22,T$9,0),4)</f>
        <v>1.0251999999999999</v>
      </c>
      <c r="U16" s="274">
        <f>ROUND(VLOOKUP(MID($E16,4,3),'Wochentag F(WT)'!$B$7:$J$22,U$9,0),4)</f>
        <v>1.0295000000000001</v>
      </c>
      <c r="V16" s="274">
        <f>ROUND(VLOOKUP(MID($E16,4,3),'Wochentag F(WT)'!$B$7:$J$22,V$9,0),4)</f>
        <v>1.0253000000000001</v>
      </c>
      <c r="W16" s="274">
        <f>ROUND(VLOOKUP(MID($E16,4,3),'Wochentag F(WT)'!$B$7:$J$22,W$9,0),4)</f>
        <v>0.96750000000000003</v>
      </c>
      <c r="X16" s="275">
        <f t="shared" si="2"/>
        <v>0.89350000000000041</v>
      </c>
      <c r="Y16" s="292"/>
      <c r="Z16" s="210"/>
    </row>
    <row r="17" spans="2:26" s="142" customFormat="1">
      <c r="B17" s="143">
        <v>6</v>
      </c>
      <c r="C17" s="144" t="str">
        <f t="shared" si="0"/>
        <v>SWV Regional GmbH</v>
      </c>
      <c r="D17" s="62" t="s">
        <v>247</v>
      </c>
      <c r="E17" s="164" t="s">
        <v>659</v>
      </c>
      <c r="F17" s="296" t="str">
        <f>VLOOKUP($E17,'BDEW-Standard'!$B$3:$M$158,F$9,0)</f>
        <v>KO4</v>
      </c>
      <c r="H17" s="273">
        <f>ROUND(VLOOKUP($E17,'BDEW-Standard'!$B$3:$M$158,H$9,0),7)</f>
        <v>3.4428942999999999</v>
      </c>
      <c r="I17" s="273">
        <f>ROUND(VLOOKUP($E17,'BDEW-Standard'!$B$3:$M$158,I$9,0),7)</f>
        <v>-36.659050399999998</v>
      </c>
      <c r="J17" s="273">
        <f>ROUND(VLOOKUP($E17,'BDEW-Standard'!$B$3:$M$158,J$9,0),7)</f>
        <v>7.6083226000000002</v>
      </c>
      <c r="K17" s="273">
        <f>ROUND(VLOOKUP($E17,'BDEW-Standard'!$B$3:$M$158,K$9,0),7)</f>
        <v>7.4685000000000001E-2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0.97768382110526542</v>
      </c>
      <c r="R17" s="274">
        <f>ROUND(VLOOKUP(MID($E17,4,3),'Wochentag F(WT)'!$B$7:$J$22,R$9,0),4)</f>
        <v>1.0354000000000001</v>
      </c>
      <c r="S17" s="274">
        <f>ROUND(VLOOKUP(MID($E17,4,3),'Wochentag F(WT)'!$B$7:$J$22,S$9,0),4)</f>
        <v>1.0523</v>
      </c>
      <c r="T17" s="274">
        <f>ROUND(VLOOKUP(MID($E17,4,3),'Wochentag F(WT)'!$B$7:$J$22,T$9,0),4)</f>
        <v>1.0448999999999999</v>
      </c>
      <c r="U17" s="274">
        <f>ROUND(VLOOKUP(MID($E17,4,3),'Wochentag F(WT)'!$B$7:$J$22,U$9,0),4)</f>
        <v>1.0494000000000001</v>
      </c>
      <c r="V17" s="274">
        <f>ROUND(VLOOKUP(MID($E17,4,3),'Wochentag F(WT)'!$B$7:$J$22,V$9,0),4)</f>
        <v>0.98850000000000005</v>
      </c>
      <c r="W17" s="274">
        <f>ROUND(VLOOKUP(MID($E17,4,3),'Wochentag F(WT)'!$B$7:$J$22,W$9,0),4)</f>
        <v>0.88600000000000001</v>
      </c>
      <c r="X17" s="275">
        <f t="shared" si="2"/>
        <v>0.94349999999999934</v>
      </c>
      <c r="Y17" s="292"/>
      <c r="Z17" s="210"/>
    </row>
    <row r="18" spans="2:26" s="142" customFormat="1">
      <c r="B18" s="143">
        <v>7</v>
      </c>
      <c r="C18" s="144" t="str">
        <f t="shared" si="0"/>
        <v>SWV Regional GmbH</v>
      </c>
      <c r="D18" s="62" t="s">
        <v>247</v>
      </c>
      <c r="E18" s="164" t="s">
        <v>660</v>
      </c>
      <c r="F18" s="296" t="str">
        <f>VLOOKUP($E18,'BDEW-Standard'!$B$3:$M$158,F$9,0)</f>
        <v>BD4</v>
      </c>
      <c r="H18" s="273">
        <f>ROUND(VLOOKUP($E18,'BDEW-Standard'!$B$3:$M$158,H$9,0),7)</f>
        <v>3.75</v>
      </c>
      <c r="I18" s="273">
        <f>ROUND(VLOOKUP($E18,'BDEW-Standard'!$B$3:$M$158,I$9,0),7)</f>
        <v>-37.5</v>
      </c>
      <c r="J18" s="273">
        <f>ROUND(VLOOKUP($E18,'BDEW-Standard'!$B$3:$M$158,J$9,0),7)</f>
        <v>6.8</v>
      </c>
      <c r="K18" s="273">
        <f>ROUND(VLOOKUP($E18,'BDEW-Standard'!$B$3:$M$158,K$9,0),7)</f>
        <v>6.0911300000000002E-2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1.0126136468627658</v>
      </c>
      <c r="R18" s="274">
        <f>ROUND(VLOOKUP(MID($E18,4,3),'Wochentag F(WT)'!$B$7:$J$22,R$9,0),4)</f>
        <v>1.1052</v>
      </c>
      <c r="S18" s="274">
        <f>ROUND(VLOOKUP(MID($E18,4,3),'Wochentag F(WT)'!$B$7:$J$22,S$9,0),4)</f>
        <v>1.0857000000000001</v>
      </c>
      <c r="T18" s="274">
        <f>ROUND(VLOOKUP(MID($E18,4,3),'Wochentag F(WT)'!$B$7:$J$22,T$9,0),4)</f>
        <v>1.0378000000000001</v>
      </c>
      <c r="U18" s="274">
        <f>ROUND(VLOOKUP(MID($E18,4,3),'Wochentag F(WT)'!$B$7:$J$22,U$9,0),4)</f>
        <v>1.0622</v>
      </c>
      <c r="V18" s="274">
        <f>ROUND(VLOOKUP(MID($E18,4,3),'Wochentag F(WT)'!$B$7:$J$22,V$9,0),4)</f>
        <v>1.0266</v>
      </c>
      <c r="W18" s="274">
        <f>ROUND(VLOOKUP(MID($E18,4,3),'Wochentag F(WT)'!$B$7:$J$22,W$9,0),4)</f>
        <v>0.76290000000000002</v>
      </c>
      <c r="X18" s="275">
        <f t="shared" si="2"/>
        <v>0.91959999999999997</v>
      </c>
      <c r="Y18" s="292"/>
      <c r="Z18" s="210"/>
    </row>
    <row r="19" spans="2:26" s="142" customFormat="1">
      <c r="B19" s="143">
        <v>8</v>
      </c>
      <c r="C19" s="144" t="str">
        <f t="shared" si="0"/>
        <v>SWV Regional GmbH</v>
      </c>
      <c r="D19" s="62" t="s">
        <v>247</v>
      </c>
      <c r="E19" s="164" t="s">
        <v>661</v>
      </c>
      <c r="F19" s="296" t="str">
        <f>VLOOKUP($E19,'BDEW-Standard'!$B$3:$M$158,F$9,0)</f>
        <v>GA4</v>
      </c>
      <c r="H19" s="273">
        <f>ROUND(VLOOKUP($E19,'BDEW-Standard'!$B$3:$M$158,H$9,0),7)</f>
        <v>2.8195655999999998</v>
      </c>
      <c r="I19" s="273">
        <f>ROUND(VLOOKUP($E19,'BDEW-Standard'!$B$3:$M$158,I$9,0),7)</f>
        <v>-36</v>
      </c>
      <c r="J19" s="273">
        <f>ROUND(VLOOKUP($E19,'BDEW-Standard'!$B$3:$M$158,J$9,0),7)</f>
        <v>7.7368518000000002</v>
      </c>
      <c r="K19" s="273">
        <f>ROUND(VLOOKUP($E19,'BDEW-Standard'!$B$3:$M$158,K$9,0),7)</f>
        <v>0.157281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0.96576337685759206</v>
      </c>
      <c r="R19" s="274">
        <f>ROUND(VLOOKUP(MID($E19,4,3),'Wochentag F(WT)'!$B$7:$J$22,R$9,0),4)</f>
        <v>0.93220000000000003</v>
      </c>
      <c r="S19" s="274">
        <f>ROUND(VLOOKUP(MID($E19,4,3),'Wochentag F(WT)'!$B$7:$J$22,S$9,0),4)</f>
        <v>0.98939999999999995</v>
      </c>
      <c r="T19" s="274">
        <f>ROUND(VLOOKUP(MID($E19,4,3),'Wochentag F(WT)'!$B$7:$J$22,T$9,0),4)</f>
        <v>1.0033000000000001</v>
      </c>
      <c r="U19" s="274">
        <f>ROUND(VLOOKUP(MID($E19,4,3),'Wochentag F(WT)'!$B$7:$J$22,U$9,0),4)</f>
        <v>1.0108999999999999</v>
      </c>
      <c r="V19" s="274">
        <f>ROUND(VLOOKUP(MID($E19,4,3),'Wochentag F(WT)'!$B$7:$J$22,V$9,0),4)</f>
        <v>1.018</v>
      </c>
      <c r="W19" s="274">
        <f>ROUND(VLOOKUP(MID($E19,4,3),'Wochentag F(WT)'!$B$7:$J$22,W$9,0),4)</f>
        <v>1.0356000000000001</v>
      </c>
      <c r="X19" s="275">
        <f t="shared" si="2"/>
        <v>1.0106000000000002</v>
      </c>
      <c r="Y19" s="292"/>
      <c r="Z19" s="210"/>
    </row>
    <row r="20" spans="2:26" s="142" customFormat="1">
      <c r="B20" s="143">
        <v>9</v>
      </c>
      <c r="C20" s="144" t="str">
        <f t="shared" si="0"/>
        <v>SWV Regional GmbH</v>
      </c>
      <c r="D20" s="62" t="s">
        <v>247</v>
      </c>
      <c r="E20" s="164" t="s">
        <v>662</v>
      </c>
      <c r="F20" s="296" t="str">
        <f>VLOOKUP($E20,'BDEW-Standard'!$B$3:$M$158,F$9,0)</f>
        <v>BH4</v>
      </c>
      <c r="H20" s="273">
        <f>ROUND(VLOOKUP($E20,'BDEW-Standard'!$B$3:$M$158,H$9,0),7)</f>
        <v>2.4595180999999999</v>
      </c>
      <c r="I20" s="273">
        <f>ROUND(VLOOKUP($E20,'BDEW-Standard'!$B$3:$M$158,I$9,0),7)</f>
        <v>-35.253212400000002</v>
      </c>
      <c r="J20" s="273">
        <f>ROUND(VLOOKUP($E20,'BDEW-Standard'!$B$3:$M$158,J$9,0),7)</f>
        <v>6.0587001000000003</v>
      </c>
      <c r="K20" s="273">
        <f>ROUND(VLOOKUP($E20,'BDEW-Standard'!$B$3:$M$158,K$9,0),7)</f>
        <v>0.16473699999999999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1.043802057143173</v>
      </c>
      <c r="R20" s="274">
        <f>ROUND(VLOOKUP(MID($E20,4,3),'Wochentag F(WT)'!$B$7:$J$22,R$9,0),4)</f>
        <v>0.97670000000000001</v>
      </c>
      <c r="S20" s="274">
        <f>ROUND(VLOOKUP(MID($E20,4,3),'Wochentag F(WT)'!$B$7:$J$22,S$9,0),4)</f>
        <v>1.0388999999999999</v>
      </c>
      <c r="T20" s="274">
        <f>ROUND(VLOOKUP(MID($E20,4,3),'Wochentag F(WT)'!$B$7:$J$22,T$9,0),4)</f>
        <v>1.0027999999999999</v>
      </c>
      <c r="U20" s="274">
        <f>ROUND(VLOOKUP(MID($E20,4,3),'Wochentag F(WT)'!$B$7:$J$22,U$9,0),4)</f>
        <v>1.0162</v>
      </c>
      <c r="V20" s="274">
        <f>ROUND(VLOOKUP(MID($E20,4,3),'Wochentag F(WT)'!$B$7:$J$22,V$9,0),4)</f>
        <v>1.0024</v>
      </c>
      <c r="W20" s="274">
        <f>ROUND(VLOOKUP(MID($E20,4,3),'Wochentag F(WT)'!$B$7:$J$22,W$9,0),4)</f>
        <v>1.0043</v>
      </c>
      <c r="X20" s="275">
        <f t="shared" si="2"/>
        <v>0.95870000000000122</v>
      </c>
      <c r="Y20" s="292"/>
      <c r="Z20" s="210"/>
    </row>
    <row r="21" spans="2:26" s="142" customFormat="1">
      <c r="B21" s="143">
        <v>10</v>
      </c>
      <c r="C21" s="144" t="str">
        <f t="shared" si="0"/>
        <v>SWV Regional GmbH</v>
      </c>
      <c r="D21" s="62" t="s">
        <v>247</v>
      </c>
      <c r="E21" s="164" t="s">
        <v>663</v>
      </c>
      <c r="F21" s="296" t="str">
        <f>VLOOKUP($E21,'BDEW-Standard'!$B$3:$M$158,F$9,0)</f>
        <v>WA4</v>
      </c>
      <c r="H21" s="273">
        <f>ROUND(VLOOKUP($E21,'BDEW-Standard'!$B$3:$M$158,H$9,0),7)</f>
        <v>1.0535874999999999</v>
      </c>
      <c r="I21" s="273">
        <f>ROUND(VLOOKUP($E21,'BDEW-Standard'!$B$3:$M$158,I$9,0),7)</f>
        <v>-35.299999999999997</v>
      </c>
      <c r="J21" s="273">
        <f>ROUND(VLOOKUP($E21,'BDEW-Standard'!$B$3:$M$158,J$9,0),7)</f>
        <v>4.8662747</v>
      </c>
      <c r="K21" s="273">
        <f>ROUND(VLOOKUP($E21,'BDEW-Standard'!$B$3:$M$158,K$9,0),7)</f>
        <v>0.68110420000000005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1.0844348950990992</v>
      </c>
      <c r="R21" s="274">
        <f>ROUND(VLOOKUP(MID($E21,4,3),'Wochentag F(WT)'!$B$7:$J$22,R$9,0),4)</f>
        <v>1.2457</v>
      </c>
      <c r="S21" s="274">
        <f>ROUND(VLOOKUP(MID($E21,4,3),'Wochentag F(WT)'!$B$7:$J$22,S$9,0),4)</f>
        <v>1.2615000000000001</v>
      </c>
      <c r="T21" s="274">
        <f>ROUND(VLOOKUP(MID($E21,4,3),'Wochentag F(WT)'!$B$7:$J$22,T$9,0),4)</f>
        <v>1.2706999999999999</v>
      </c>
      <c r="U21" s="274">
        <f>ROUND(VLOOKUP(MID($E21,4,3),'Wochentag F(WT)'!$B$7:$J$22,U$9,0),4)</f>
        <v>1.2430000000000001</v>
      </c>
      <c r="V21" s="274">
        <f>ROUND(VLOOKUP(MID($E21,4,3),'Wochentag F(WT)'!$B$7:$J$22,V$9,0),4)</f>
        <v>1.1275999999999999</v>
      </c>
      <c r="W21" s="274">
        <f>ROUND(VLOOKUP(MID($E21,4,3),'Wochentag F(WT)'!$B$7:$J$22,W$9,0),4)</f>
        <v>0.38769999999999999</v>
      </c>
      <c r="X21" s="275">
        <f t="shared" si="2"/>
        <v>0.46379999999999999</v>
      </c>
      <c r="Y21" s="292"/>
      <c r="Z21" s="210"/>
    </row>
    <row r="22" spans="2:26" s="142" customFormat="1">
      <c r="B22" s="143">
        <v>11</v>
      </c>
      <c r="C22" s="144" t="str">
        <f t="shared" si="0"/>
        <v>SWV Regional GmbH</v>
      </c>
      <c r="D22" s="62" t="s">
        <v>247</v>
      </c>
      <c r="E22" s="164" t="s">
        <v>664</v>
      </c>
      <c r="F22" s="296" t="str">
        <f>VLOOKUP($E22,'BDEW-Standard'!$B$3:$M$158,F$9,0)</f>
        <v>HD4</v>
      </c>
      <c r="H22" s="273">
        <f>ROUND(VLOOKUP($E22,'BDEW-Standard'!$B$3:$M$158,H$9,0),7)</f>
        <v>3.0084346000000002</v>
      </c>
      <c r="I22" s="273">
        <f>ROUND(VLOOKUP($E22,'BDEW-Standard'!$B$3:$M$158,I$9,0),7)</f>
        <v>-36.607845300000001</v>
      </c>
      <c r="J22" s="273">
        <f>ROUND(VLOOKUP($E22,'BDEW-Standard'!$B$3:$M$158,J$9,0),7)</f>
        <v>7.3211870000000001</v>
      </c>
      <c r="K22" s="273">
        <f>ROUND(VLOOKUP($E22,'BDEW-Standard'!$B$3:$M$158,K$9,0),7)</f>
        <v>0.15496599999999999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0.97302438504000599</v>
      </c>
      <c r="R22" s="274">
        <f>ROUND(VLOOKUP(MID($E22,4,3),'Wochentag F(WT)'!$B$7:$J$22,R$9,0),4)</f>
        <v>1.03</v>
      </c>
      <c r="S22" s="274">
        <f>ROUND(VLOOKUP(MID($E22,4,3),'Wochentag F(WT)'!$B$7:$J$22,S$9,0),4)</f>
        <v>1.03</v>
      </c>
      <c r="T22" s="274">
        <f>ROUND(VLOOKUP(MID($E22,4,3),'Wochentag F(WT)'!$B$7:$J$22,T$9,0),4)</f>
        <v>1.02</v>
      </c>
      <c r="U22" s="274">
        <f>ROUND(VLOOKUP(MID($E22,4,3),'Wochentag F(WT)'!$B$7:$J$22,U$9,0),4)</f>
        <v>1.03</v>
      </c>
      <c r="V22" s="274">
        <f>ROUND(VLOOKUP(MID($E22,4,3),'Wochentag F(WT)'!$B$7:$J$22,V$9,0),4)</f>
        <v>1.01</v>
      </c>
      <c r="W22" s="274">
        <f>ROUND(VLOOKUP(MID($E22,4,3),'Wochentag F(WT)'!$B$7:$J$22,W$9,0),4)</f>
        <v>0.93</v>
      </c>
      <c r="X22" s="275">
        <f t="shared" si="2"/>
        <v>0.95000000000000018</v>
      </c>
      <c r="Y22" s="292"/>
      <c r="Z22" s="210"/>
    </row>
    <row r="23" spans="2:26" s="142" customFormat="1">
      <c r="B23" s="143">
        <v>12</v>
      </c>
      <c r="C23" s="144" t="str">
        <f t="shared" si="0"/>
        <v>SWV Regional GmbH</v>
      </c>
      <c r="D23" s="62" t="s">
        <v>247</v>
      </c>
      <c r="E23" s="164" t="s">
        <v>665</v>
      </c>
      <c r="F23" s="296" t="str">
        <f>VLOOKUP($E23,'BDEW-Standard'!$B$3:$M$158,F$9,0)</f>
        <v>GB4</v>
      </c>
      <c r="H23" s="273">
        <f>ROUND(VLOOKUP($E23,'BDEW-Standard'!$B$3:$M$158,H$9,0),7)</f>
        <v>3.6017736</v>
      </c>
      <c r="I23" s="273">
        <f>ROUND(VLOOKUP($E23,'BDEW-Standard'!$B$3:$M$158,I$9,0),7)</f>
        <v>-37.882536799999997</v>
      </c>
      <c r="J23" s="273">
        <f>ROUND(VLOOKUP($E23,'BDEW-Standard'!$B$3:$M$158,J$9,0),7)</f>
        <v>6.9836070000000001</v>
      </c>
      <c r="K23" s="273">
        <f>ROUND(VLOOKUP($E23,'BDEW-Standard'!$B$3:$M$158,K$9,0),7)</f>
        <v>5.4826199999999999E-2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0.90239375975311864</v>
      </c>
      <c r="R23" s="274">
        <f>ROUND(VLOOKUP(MID($E23,4,3),'Wochentag F(WT)'!$B$7:$J$22,R$9,0),4)</f>
        <v>0.98970000000000002</v>
      </c>
      <c r="S23" s="274">
        <f>ROUND(VLOOKUP(MID($E23,4,3),'Wochentag F(WT)'!$B$7:$J$22,S$9,0),4)</f>
        <v>0.9627</v>
      </c>
      <c r="T23" s="274">
        <f>ROUND(VLOOKUP(MID($E23,4,3),'Wochentag F(WT)'!$B$7:$J$22,T$9,0),4)</f>
        <v>1.0507</v>
      </c>
      <c r="U23" s="274">
        <f>ROUND(VLOOKUP(MID($E23,4,3),'Wochentag F(WT)'!$B$7:$J$22,U$9,0),4)</f>
        <v>1.0551999999999999</v>
      </c>
      <c r="V23" s="274">
        <f>ROUND(VLOOKUP(MID($E23,4,3),'Wochentag F(WT)'!$B$7:$J$22,V$9,0),4)</f>
        <v>1.0297000000000001</v>
      </c>
      <c r="W23" s="274">
        <f>ROUND(VLOOKUP(MID($E23,4,3),'Wochentag F(WT)'!$B$7:$J$22,W$9,0),4)</f>
        <v>0.97670000000000001</v>
      </c>
      <c r="X23" s="275">
        <f t="shared" si="2"/>
        <v>0.9352999999999998</v>
      </c>
      <c r="Y23" s="292"/>
      <c r="Z23" s="210"/>
    </row>
    <row r="24" spans="2:26" s="142" customFormat="1">
      <c r="B24" s="143">
        <v>13</v>
      </c>
      <c r="C24" s="144" t="str">
        <f t="shared" si="0"/>
        <v>SWV Regional GmbH</v>
      </c>
      <c r="D24" s="62" t="s">
        <v>247</v>
      </c>
      <c r="E24" s="164" t="s">
        <v>666</v>
      </c>
      <c r="F24" s="296" t="str">
        <f>VLOOKUP($E24,'BDEW-Standard'!$B$3:$M$158,F$9,0)</f>
        <v>PD4</v>
      </c>
      <c r="H24" s="273">
        <f>ROUND(VLOOKUP($E24,'BDEW-Standard'!$B$3:$M$158,H$9,0),7)</f>
        <v>3.85</v>
      </c>
      <c r="I24" s="273">
        <f>ROUND(VLOOKUP($E24,'BDEW-Standard'!$B$3:$M$158,I$9,0),7)</f>
        <v>-37</v>
      </c>
      <c r="J24" s="273">
        <f>ROUND(VLOOKUP($E24,'BDEW-Standard'!$B$3:$M$158,J$9,0),7)</f>
        <v>10.2405021</v>
      </c>
      <c r="K24" s="273">
        <f>ROUND(VLOOKUP($E24,'BDEW-Standard'!$B$3:$M$158,K$9,0),7)</f>
        <v>4.6924300000000002E-2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0.75691065279879233</v>
      </c>
      <c r="R24" s="274">
        <f>ROUND(VLOOKUP(MID($E24,4,3),'Wochentag F(WT)'!$B$7:$J$22,R$9,0),4)</f>
        <v>1.0214000000000001</v>
      </c>
      <c r="S24" s="274">
        <f>ROUND(VLOOKUP(MID($E24,4,3),'Wochentag F(WT)'!$B$7:$J$22,S$9,0),4)</f>
        <v>1.0866</v>
      </c>
      <c r="T24" s="274">
        <f>ROUND(VLOOKUP(MID($E24,4,3),'Wochentag F(WT)'!$B$7:$J$22,T$9,0),4)</f>
        <v>1.0720000000000001</v>
      </c>
      <c r="U24" s="274">
        <f>ROUND(VLOOKUP(MID($E24,4,3),'Wochentag F(WT)'!$B$7:$J$22,U$9,0),4)</f>
        <v>1.0557000000000001</v>
      </c>
      <c r="V24" s="274">
        <f>ROUND(VLOOKUP(MID($E24,4,3),'Wochentag F(WT)'!$B$7:$J$22,V$9,0),4)</f>
        <v>1.0117</v>
      </c>
      <c r="W24" s="274">
        <f>ROUND(VLOOKUP(MID($E24,4,3),'Wochentag F(WT)'!$B$7:$J$22,W$9,0),4)</f>
        <v>0.90010000000000001</v>
      </c>
      <c r="X24" s="275">
        <f t="shared" si="2"/>
        <v>0.85249999999999915</v>
      </c>
      <c r="Y24" s="292"/>
      <c r="Z24" s="210"/>
    </row>
    <row r="25" spans="2:26" s="142" customFormat="1">
      <c r="B25" s="143">
        <v>14</v>
      </c>
      <c r="C25" s="144" t="str">
        <f t="shared" si="0"/>
        <v>SWV Regional GmbH</v>
      </c>
      <c r="D25" s="62" t="s">
        <v>247</v>
      </c>
      <c r="E25" s="164" t="s">
        <v>667</v>
      </c>
      <c r="F25" s="296" t="str">
        <f>VLOOKUP($E25,'BDEW-Standard'!$B$3:$M$158,F$9,0)</f>
        <v>MF4</v>
      </c>
      <c r="H25" s="273">
        <f>ROUND(VLOOKUP($E25,'BDEW-Standard'!$B$3:$M$158,H$9,0),7)</f>
        <v>2.5187775000000001</v>
      </c>
      <c r="I25" s="273">
        <f>ROUND(VLOOKUP($E25,'BDEW-Standard'!$B$3:$M$158,I$9,0),7)</f>
        <v>-35.033375399999997</v>
      </c>
      <c r="J25" s="273">
        <f>ROUND(VLOOKUP($E25,'BDEW-Standard'!$B$3:$M$158,J$9,0),7)</f>
        <v>6.2240634000000004</v>
      </c>
      <c r="K25" s="273">
        <f>ROUND(VLOOKUP($E25,'BDEW-Standard'!$B$3:$M$158,K$9,0),7)</f>
        <v>0.10107820000000001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1.0146273685996503</v>
      </c>
      <c r="R25" s="274">
        <f>ROUND(VLOOKUP(MID($E25,4,3),'Wochentag F(WT)'!$B$7:$J$22,R$9,0),4)</f>
        <v>1.0354000000000001</v>
      </c>
      <c r="S25" s="274">
        <f>ROUND(VLOOKUP(MID($E25,4,3),'Wochentag F(WT)'!$B$7:$J$22,S$9,0),4)</f>
        <v>1.0523</v>
      </c>
      <c r="T25" s="274">
        <f>ROUND(VLOOKUP(MID($E25,4,3),'Wochentag F(WT)'!$B$7:$J$22,T$9,0),4)</f>
        <v>1.0448999999999999</v>
      </c>
      <c r="U25" s="274">
        <f>ROUND(VLOOKUP(MID($E25,4,3),'Wochentag F(WT)'!$B$7:$J$22,U$9,0),4)</f>
        <v>1.0494000000000001</v>
      </c>
      <c r="V25" s="274">
        <f>ROUND(VLOOKUP(MID($E25,4,3),'Wochentag F(WT)'!$B$7:$J$22,V$9,0),4)</f>
        <v>0.98850000000000005</v>
      </c>
      <c r="W25" s="274">
        <f>ROUND(VLOOKUP(MID($E25,4,3),'Wochentag F(WT)'!$B$7:$J$22,W$9,0),4)</f>
        <v>0.88600000000000001</v>
      </c>
      <c r="X25" s="275">
        <f t="shared" si="2"/>
        <v>0.94349999999999934</v>
      </c>
      <c r="Y25" s="292"/>
      <c r="Z25" s="210"/>
    </row>
    <row r="26" spans="2:26" s="142" customFormat="1">
      <c r="B26" s="143">
        <v>15</v>
      </c>
      <c r="C26" s="144" t="str">
        <f t="shared" si="0"/>
        <v>SWV Regional GmbH</v>
      </c>
      <c r="D26" s="62" t="s">
        <v>247</v>
      </c>
      <c r="E26" s="164" t="s">
        <v>668</v>
      </c>
      <c r="F26" s="296" t="str">
        <f>VLOOKUP($E26,'BDEW-Standard'!$B$3:$M$158,F$9,0)</f>
        <v>BA4</v>
      </c>
      <c r="H26" s="273">
        <f>ROUND(VLOOKUP($E26,'BDEW-Standard'!$B$3:$M$158,H$9,0),7)</f>
        <v>0.93158890000000005</v>
      </c>
      <c r="I26" s="273">
        <f>ROUND(VLOOKUP($E26,'BDEW-Standard'!$B$3:$M$158,I$9,0),7)</f>
        <v>-33.35</v>
      </c>
      <c r="J26" s="273">
        <f>ROUND(VLOOKUP($E26,'BDEW-Standard'!$B$3:$M$158,J$9,0),7)</f>
        <v>5.7212303000000002</v>
      </c>
      <c r="K26" s="273">
        <f>ROUND(VLOOKUP($E26,'BDEW-Standard'!$B$3:$M$158,K$9,0),7)</f>
        <v>0.66564939999999995</v>
      </c>
      <c r="L26" s="337">
        <f>ROUND(VLOOKUP($E26,'BDEW-Standard'!$B$3:$M$158,L$9,0),1)</f>
        <v>40</v>
      </c>
      <c r="M26" s="273">
        <f>ROUND(VLOOKUP($E26,'BDEW-Standard'!$B$3:$M$158,M$9,0),7)</f>
        <v>0</v>
      </c>
      <c r="N26" s="273">
        <f>ROUND(VLOOKUP($E26,'BDEW-Standard'!$B$3:$M$158,N$9,0),7)</f>
        <v>0</v>
      </c>
      <c r="O26" s="273">
        <f>ROUND(VLOOKUP($E26,'BDEW-Standard'!$B$3:$M$158,O$9,0),7)</f>
        <v>0</v>
      </c>
      <c r="P26" s="273">
        <f>ROUND(VLOOKUP($E26,'BDEW-Standard'!$B$3:$M$158,P$9,0),7)</f>
        <v>0</v>
      </c>
      <c r="Q26" s="338">
        <f t="shared" si="1"/>
        <v>1.0766391850538448</v>
      </c>
      <c r="R26" s="274">
        <f>ROUND(VLOOKUP(MID($E26,4,3),'Wochentag F(WT)'!$B$7:$J$22,R$9,0),4)</f>
        <v>1.0848</v>
      </c>
      <c r="S26" s="274">
        <f>ROUND(VLOOKUP(MID($E26,4,3),'Wochentag F(WT)'!$B$7:$J$22,S$9,0),4)</f>
        <v>1.1211</v>
      </c>
      <c r="T26" s="274">
        <f>ROUND(VLOOKUP(MID($E26,4,3),'Wochentag F(WT)'!$B$7:$J$22,T$9,0),4)</f>
        <v>1.0769</v>
      </c>
      <c r="U26" s="274">
        <f>ROUND(VLOOKUP(MID($E26,4,3),'Wochentag F(WT)'!$B$7:$J$22,U$9,0),4)</f>
        <v>1.1353</v>
      </c>
      <c r="V26" s="274">
        <f>ROUND(VLOOKUP(MID($E26,4,3),'Wochentag F(WT)'!$B$7:$J$22,V$9,0),4)</f>
        <v>1.1402000000000001</v>
      </c>
      <c r="W26" s="274">
        <f>ROUND(VLOOKUP(MID($E26,4,3),'Wochentag F(WT)'!$B$7:$J$22,W$9,0),4)</f>
        <v>0.48520000000000002</v>
      </c>
      <c r="X26" s="275">
        <f t="shared" si="2"/>
        <v>0.95650000000000013</v>
      </c>
      <c r="Y26" s="292"/>
      <c r="Z26" s="210"/>
    </row>
    <row r="27" spans="2:26" s="142" customFormat="1">
      <c r="B27" s="143">
        <v>16</v>
      </c>
      <c r="C27" s="144" t="str">
        <f t="shared" si="0"/>
        <v>SWV Regional GmbH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SWV Regional GmbH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SWV Regional GmbH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SWV Regional GmbH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SWV Regional GmbH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SWV Regional GmbH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SWV Regional GmbH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SWV Regional GmbH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SWV Regional GmbH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SWV Regional GmbH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SWV Regional GmbH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SWV Regional GmbH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SWV Regional GmbH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SWV Regional GmbH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SWV Regional GmbH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6 F12:P26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 xr:uid="{00000000-0002-0000-0500-000004000000}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rgb="FF00B050"/>
    <pageSetUpPr fitToPage="1"/>
  </sheetPr>
  <dimension ref="A1:AE35"/>
  <sheetViews>
    <sheetView showGridLines="0" zoomScale="80" zoomScaleNormal="80" workbookViewId="0">
      <selection activeCell="Y21" sqref="Y21"/>
    </sheetView>
  </sheetViews>
  <sheetFormatPr baseColWidth="10" defaultColWidth="0" defaultRowHeight="13.2" zeroHeight="1"/>
  <cols>
    <col min="1" max="1" width="2.88671875" style="75" customWidth="1"/>
    <col min="2" max="2" width="15.109375" style="75" customWidth="1"/>
    <col min="3" max="3" width="14.6640625" style="75" customWidth="1"/>
    <col min="4" max="4" width="5.88671875" style="75" hidden="1" customWidth="1"/>
    <col min="5" max="5" width="5.109375" style="75" customWidth="1"/>
    <col min="6" max="12" width="12.6640625" style="75" customWidth="1"/>
    <col min="13" max="30" width="5.6640625" style="75" customWidth="1"/>
    <col min="31" max="31" width="11.44140625" style="75" customWidth="1"/>
    <col min="32" max="16384" width="11.44140625" style="75" hidden="1"/>
  </cols>
  <sheetData>
    <row r="1" spans="2:30" ht="75" customHeight="1"/>
    <row r="2" spans="2:30" ht="22.8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SWV Regional GmbH</v>
      </c>
      <c r="D4" s="76"/>
      <c r="G4" s="76"/>
      <c r="I4" s="76"/>
      <c r="J4" s="77"/>
      <c r="M4" s="86" t="s">
        <v>535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4.4">
      <c r="B5" s="87" t="s">
        <v>444</v>
      </c>
      <c r="C5" s="64" t="str">
        <f>Netzbetreiber!$D$28</f>
        <v>SWV Regional GmbH</v>
      </c>
      <c r="D5" s="37"/>
      <c r="E5" s="76"/>
      <c r="F5" s="76"/>
      <c r="G5" s="76"/>
      <c r="I5" s="76"/>
      <c r="J5" s="76"/>
      <c r="K5" s="76"/>
      <c r="L5" s="76"/>
      <c r="M5" s="88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4.4">
      <c r="B6" s="85" t="s">
        <v>442</v>
      </c>
      <c r="C6" s="63" t="str">
        <f>Netzbetreiber!$D$11</f>
        <v>9870115100008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" thickBot="1">
      <c r="B7" s="85" t="s">
        <v>133</v>
      </c>
      <c r="C7" s="59">
        <f>Netzbetreiber!$D$6</f>
        <v>43831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0" t="s">
        <v>579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397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427</v>
      </c>
    </row>
    <row r="11" spans="2:30" ht="1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4.4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4.4">
      <c r="B13" s="115" t="s">
        <v>399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4.4">
      <c r="B14" s="115" t="s">
        <v>400</v>
      </c>
      <c r="C14" s="116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4.4">
      <c r="B15" s="115" t="s">
        <v>652</v>
      </c>
      <c r="C15" s="116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4.4">
      <c r="B16" s="120" t="s">
        <v>413</v>
      </c>
      <c r="C16" s="116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4.4">
      <c r="B17" s="120" t="s">
        <v>414</v>
      </c>
      <c r="C17" s="116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4.4">
      <c r="B18" s="120" t="s">
        <v>415</v>
      </c>
      <c r="C18" s="116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4.4">
      <c r="B19" s="120" t="s">
        <v>402</v>
      </c>
      <c r="C19" s="116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4.4">
      <c r="B20" s="120" t="s">
        <v>645</v>
      </c>
      <c r="C20" s="116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4.4">
      <c r="B21" s="120" t="s">
        <v>416</v>
      </c>
      <c r="C21" s="116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4.4">
      <c r="B22" s="120" t="s">
        <v>417</v>
      </c>
      <c r="C22" s="116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4.4">
      <c r="B23" s="115" t="s">
        <v>651</v>
      </c>
      <c r="C23" s="116"/>
      <c r="D23" s="111">
        <v>15</v>
      </c>
      <c r="E23" s="304">
        <f t="shared" si="0"/>
        <v>0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4.4">
      <c r="B24" s="115" t="s">
        <v>403</v>
      </c>
      <c r="C24" s="116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4.4">
      <c r="B25" s="115" t="s">
        <v>404</v>
      </c>
      <c r="C25" s="116"/>
      <c r="D25" s="111">
        <v>17</v>
      </c>
      <c r="E25" s="304">
        <f t="shared" si="0"/>
        <v>0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4.4">
      <c r="B26" s="120" t="s">
        <v>405</v>
      </c>
      <c r="C26" s="116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4.4">
      <c r="B27" s="115" t="s">
        <v>406</v>
      </c>
      <c r="C27" s="116"/>
      <c r="D27" s="111">
        <v>19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4.4">
      <c r="B28" s="115" t="s">
        <v>407</v>
      </c>
      <c r="C28" s="116"/>
      <c r="D28" s="111">
        <v>20</v>
      </c>
      <c r="E28" s="304">
        <f t="shared" si="0"/>
        <v>0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4.4">
      <c r="B29" s="115" t="s">
        <v>408</v>
      </c>
      <c r="C29" s="116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4.4">
      <c r="B30" s="115" t="s">
        <v>409</v>
      </c>
      <c r="C30" s="116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4.4">
      <c r="B31" s="120" t="s">
        <v>410</v>
      </c>
      <c r="C31" s="116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4.4">
      <c r="B32" s="120" t="s">
        <v>411</v>
      </c>
      <c r="C32" s="116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" thickBot="1">
      <c r="B33" s="121" t="s">
        <v>412</v>
      </c>
      <c r="C33" s="122"/>
      <c r="D33" s="123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600-000000000000}">
      <formula1>$M$9:$AD$9</formula1>
    </dataValidation>
    <dataValidation type="list" allowBlank="1" showInputMessage="1" showErrorMessage="1" sqref="M11:AD11" xr:uid="{00000000-0002-0000-0600-000001000000}">
      <formula1>"1,0"</formula1>
    </dataValidation>
    <dataValidation type="list" allowBlank="1" showInputMessage="1" showErrorMessage="1" sqref="AD12:AD33" xr:uid="{00000000-0002-0000-0600-000002000000}">
      <formula1>"1, "</formula1>
    </dataValidation>
    <dataValidation type="list" allowBlank="1" showInputMessage="1" showErrorMessage="1" sqref="F12:L33" xr:uid="{00000000-0002-0000-06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ColWidth="11.44140625" defaultRowHeight="14.4"/>
  <cols>
    <col min="1" max="3" width="11.44140625" style="127"/>
    <col min="4" max="4" width="19.88671875" style="127" customWidth="1"/>
    <col min="5" max="9" width="16" style="127" customWidth="1"/>
    <col min="10" max="10" width="15.109375" style="127" customWidth="1"/>
    <col min="11" max="12" width="16" style="127" customWidth="1"/>
    <col min="13" max="13" width="15.33203125" style="127" customWidth="1"/>
    <col min="14" max="16384" width="11.44140625" style="127"/>
  </cols>
  <sheetData>
    <row r="1" spans="1:14">
      <c r="A1" s="211" t="s">
        <v>346</v>
      </c>
      <c r="B1" s="212">
        <v>42173</v>
      </c>
      <c r="D1" s="130" t="s">
        <v>454</v>
      </c>
      <c r="F1" s="213" t="s">
        <v>541</v>
      </c>
      <c r="N1" s="214"/>
    </row>
    <row r="2" spans="1:14" ht="26.4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648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 xr:uid="{00000000-0009-0000-0000-000007000000}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ColWidth="11.44140625" defaultRowHeight="14.4"/>
  <cols>
    <col min="1" max="1" width="9.6640625" style="253" customWidth="1"/>
    <col min="2" max="2" width="7" style="254" customWidth="1"/>
    <col min="3" max="3" width="27.6640625" style="233" customWidth="1"/>
    <col min="4" max="10" width="8.88671875" style="233" customWidth="1"/>
    <col min="11" max="14" width="11.44140625" style="233" customWidth="1"/>
    <col min="15" max="15" width="12.33203125" style="127" customWidth="1"/>
    <col min="16" max="16" width="16.5546875" style="233" customWidth="1"/>
    <col min="17" max="16384" width="11.44140625" style="233"/>
  </cols>
  <sheetData>
    <row r="1" spans="1:16" s="232" customFormat="1">
      <c r="A1" s="130" t="s">
        <v>455</v>
      </c>
      <c r="B1" s="127"/>
      <c r="D1" s="213" t="s">
        <v>541</v>
      </c>
    </row>
    <row r="2" spans="1:16">
      <c r="A2" s="233"/>
      <c r="B2" s="232" t="s">
        <v>456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9.6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6.4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Henrik Kirschke</cp:lastModifiedBy>
  <cp:lastPrinted>2015-03-20T22:59:10Z</cp:lastPrinted>
  <dcterms:created xsi:type="dcterms:W3CDTF">2015-01-15T05:25:41Z</dcterms:created>
  <dcterms:modified xsi:type="dcterms:W3CDTF">2023-03-14T12:31:07Z</dcterms:modified>
</cp:coreProperties>
</file>